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0\3.業務部\⑫業務関連資料\○貸付料等試算シート（年1回・年4回）\◎20230401～試算表\"/>
    </mc:Choice>
  </mc:AlternateContent>
  <xr:revisionPtr revIDLastSave="0" documentId="13_ncr:1_{91692F5D-AE69-4172-B469-3785A970B2B8}" xr6:coauthVersionLast="47" xr6:coauthVersionMax="47" xr10:uidLastSave="{00000000-0000-0000-0000-000000000000}"/>
  <bookViews>
    <workbookView xWindow="-120" yWindow="-120" windowWidth="20730" windowHeight="11160" tabRatio="481" firstSheet="1" activeTab="1" xr2:uid="{00000000-000D-0000-FFFF-FFFF00000000}"/>
  </bookViews>
  <sheets>
    <sheet name="基本情報入力 (入力例)" sheetId="9" r:id="rId1"/>
    <sheet name="基本情報入力" sheetId="7" r:id="rId2"/>
    <sheet name="試算結果・年１回払" sheetId="1" r:id="rId3"/>
    <sheet name="試算結果・年４回払" sheetId="6" r:id="rId4"/>
    <sheet name="総合残価率・保険料率" sheetId="8" state="hidden" r:id="rId5"/>
  </sheets>
  <definedNames>
    <definedName name="_xlnm.Print_Area" localSheetId="1">基本情報入力!$A$1:$N$26</definedName>
    <definedName name="_xlnm.Print_Area" localSheetId="0">'基本情報入力 (入力例)'!$A$1:$I$26</definedName>
    <definedName name="_xlnm.Print_Area" localSheetId="2">試算結果・年１回払!$A$1:$G$98</definedName>
    <definedName name="_xlnm.Print_Area" localSheetId="3">試算結果・年４回払!$A$1:$G$183</definedName>
  </definedNames>
  <calcPr calcId="191029"/>
</workbook>
</file>

<file path=xl/calcChain.xml><?xml version="1.0" encoding="utf-8"?>
<calcChain xmlns="http://schemas.openxmlformats.org/spreadsheetml/2006/main">
  <c r="D12" i="7" l="1"/>
  <c r="D12" i="9"/>
  <c r="B13" i="9"/>
  <c r="D8" i="9" l="1"/>
  <c r="D7" i="9"/>
  <c r="C38" i="1" l="1"/>
  <c r="D13" i="7" l="1"/>
  <c r="F4" i="6" l="1"/>
  <c r="F38" i="1"/>
  <c r="F3" i="6"/>
  <c r="C4" i="6"/>
  <c r="F37" i="1"/>
  <c r="C3" i="6" l="1"/>
  <c r="C37" i="1"/>
  <c r="F2" i="6" l="1"/>
  <c r="F36" i="1"/>
  <c r="C36" i="1" l="1"/>
  <c r="F100" i="6"/>
  <c r="F181" i="6" s="1"/>
  <c r="C2" i="6"/>
  <c r="F74" i="1"/>
  <c r="D7" i="6"/>
  <c r="C8" i="6" s="1"/>
  <c r="B180" i="6" s="1"/>
  <c r="C180" i="6" s="1"/>
  <c r="B7" i="6"/>
  <c r="F6" i="6"/>
  <c r="D6" i="6"/>
  <c r="B6" i="6"/>
  <c r="B5" i="6"/>
  <c r="E180" i="6"/>
  <c r="D92" i="6"/>
  <c r="D5" i="6" l="1"/>
  <c r="A1" i="6" s="1"/>
  <c r="C9" i="6"/>
  <c r="F7" i="6" s="1"/>
  <c r="B92" i="6"/>
  <c r="C92" i="6" s="1"/>
  <c r="G180" i="6"/>
  <c r="E8" i="6" l="1"/>
  <c r="B101" i="6" s="1"/>
  <c r="C101" i="6" s="1"/>
  <c r="H92" i="6"/>
  <c r="F92" i="6" s="1"/>
  <c r="G92" i="6" s="1"/>
  <c r="E9" i="6"/>
  <c r="H57" i="6" s="1"/>
  <c r="H69" i="6" l="1"/>
  <c r="H85" i="6"/>
  <c r="H74" i="6"/>
  <c r="H90" i="6"/>
  <c r="H78" i="6"/>
  <c r="H80" i="6"/>
  <c r="B142" i="6"/>
  <c r="C142" i="6" s="1"/>
  <c r="H61" i="6"/>
  <c r="B164" i="6"/>
  <c r="C164" i="6" s="1"/>
  <c r="H71" i="6"/>
  <c r="H68" i="6"/>
  <c r="B160" i="6"/>
  <c r="C160" i="6" s="1"/>
  <c r="B154" i="6"/>
  <c r="C154" i="6" s="1"/>
  <c r="B163" i="6"/>
  <c r="C163" i="6" s="1"/>
  <c r="B169" i="6"/>
  <c r="B81" i="6" s="1"/>
  <c r="C81" i="6" s="1"/>
  <c r="B130" i="6"/>
  <c r="C130" i="6" s="1"/>
  <c r="B155" i="6"/>
  <c r="C155" i="6" s="1"/>
  <c r="B166" i="6"/>
  <c r="C166" i="6" s="1"/>
  <c r="B143" i="6"/>
  <c r="C143" i="6" s="1"/>
  <c r="B152" i="6"/>
  <c r="C152" i="6" s="1"/>
  <c r="B173" i="6"/>
  <c r="C173" i="6" s="1"/>
  <c r="H72" i="6"/>
  <c r="B174" i="6"/>
  <c r="C174" i="6" s="1"/>
  <c r="H67" i="6"/>
  <c r="H58" i="6"/>
  <c r="H83" i="6"/>
  <c r="H87" i="6"/>
  <c r="H76" i="6"/>
  <c r="H91" i="6"/>
  <c r="B179" i="6"/>
  <c r="D179" i="6" s="1"/>
  <c r="D91" i="6" s="1"/>
  <c r="H88" i="6"/>
  <c r="H56" i="6"/>
  <c r="H86" i="6"/>
  <c r="B159" i="6"/>
  <c r="C159" i="6" s="1"/>
  <c r="H89" i="6"/>
  <c r="B141" i="6"/>
  <c r="C141" i="6" s="1"/>
  <c r="H79" i="6"/>
  <c r="H64" i="6"/>
  <c r="H73" i="6"/>
  <c r="H59" i="6"/>
  <c r="H75" i="6"/>
  <c r="H77" i="6"/>
  <c r="H66" i="6"/>
  <c r="B157" i="6"/>
  <c r="C157" i="6" s="1"/>
  <c r="B176" i="6"/>
  <c r="C176" i="6" s="1"/>
  <c r="B170" i="6"/>
  <c r="C170" i="6" s="1"/>
  <c r="B151" i="6"/>
  <c r="C151" i="6" s="1"/>
  <c r="B153" i="6"/>
  <c r="C153" i="6" s="1"/>
  <c r="B162" i="6"/>
  <c r="C162" i="6" s="1"/>
  <c r="B137" i="6"/>
  <c r="C137" i="6" s="1"/>
  <c r="B140" i="6"/>
  <c r="C140" i="6" s="1"/>
  <c r="B175" i="6"/>
  <c r="B139" i="6"/>
  <c r="C139" i="6" s="1"/>
  <c r="B135" i="6"/>
  <c r="C135" i="6" s="1"/>
  <c r="H70" i="6"/>
  <c r="B144" i="6"/>
  <c r="C144" i="6" s="1"/>
  <c r="B138" i="6"/>
  <c r="C138" i="6" s="1"/>
  <c r="B129" i="6"/>
  <c r="C129" i="6" s="1"/>
  <c r="B168" i="6"/>
  <c r="C168" i="6" s="1"/>
  <c r="B167" i="6"/>
  <c r="C167" i="6" s="1"/>
  <c r="B172" i="6"/>
  <c r="C172" i="6" s="1"/>
  <c r="B150" i="6"/>
  <c r="C150" i="6" s="1"/>
  <c r="B161" i="6"/>
  <c r="C161" i="6" s="1"/>
  <c r="B178" i="6"/>
  <c r="B90" i="6" s="1"/>
  <c r="C90" i="6" s="1"/>
  <c r="B145" i="6"/>
  <c r="C145" i="6" s="1"/>
  <c r="B131" i="6"/>
  <c r="C131" i="6" s="1"/>
  <c r="B128" i="6"/>
  <c r="C128" i="6" s="1"/>
  <c r="B171" i="6"/>
  <c r="C171" i="6" s="1"/>
  <c r="B149" i="6"/>
  <c r="C149" i="6" s="1"/>
  <c r="B136" i="6"/>
  <c r="C136" i="6" s="1"/>
  <c r="B133" i="6"/>
  <c r="C133" i="6" s="1"/>
  <c r="B156" i="6"/>
  <c r="C156" i="6" s="1"/>
  <c r="B134" i="6"/>
  <c r="C134" i="6" s="1"/>
  <c r="B147" i="6"/>
  <c r="C147" i="6" s="1"/>
  <c r="B146" i="6"/>
  <c r="C146" i="6" s="1"/>
  <c r="B177" i="6"/>
  <c r="B132" i="6"/>
  <c r="C132" i="6" s="1"/>
  <c r="H81" i="6"/>
  <c r="B165" i="6"/>
  <c r="C165" i="6" s="1"/>
  <c r="H62" i="6"/>
  <c r="B158" i="6"/>
  <c r="C158" i="6" s="1"/>
  <c r="H63" i="6"/>
  <c r="H60" i="6"/>
  <c r="H84" i="6"/>
  <c r="H65" i="6"/>
  <c r="B148" i="6"/>
  <c r="C148" i="6" s="1"/>
  <c r="H82" i="6"/>
  <c r="B113" i="6"/>
  <c r="C113" i="6" s="1"/>
  <c r="B122" i="6"/>
  <c r="C122" i="6" s="1"/>
  <c r="B116" i="6"/>
  <c r="C116" i="6" s="1"/>
  <c r="B126" i="6"/>
  <c r="C126" i="6" s="1"/>
  <c r="B103" i="6"/>
  <c r="C103" i="6" s="1"/>
  <c r="B106" i="6"/>
  <c r="C106" i="6" s="1"/>
  <c r="B114" i="6"/>
  <c r="C114" i="6" s="1"/>
  <c r="B125" i="6"/>
  <c r="C125" i="6" s="1"/>
  <c r="B121" i="6"/>
  <c r="C121" i="6" s="1"/>
  <c r="B108" i="6"/>
  <c r="C108" i="6" s="1"/>
  <c r="B111" i="6"/>
  <c r="C111" i="6" s="1"/>
  <c r="B115" i="6"/>
  <c r="C115" i="6" s="1"/>
  <c r="B102" i="6"/>
  <c r="C102" i="6" s="1"/>
  <c r="B105" i="6"/>
  <c r="C105" i="6" s="1"/>
  <c r="B109" i="6"/>
  <c r="C109" i="6" s="1"/>
  <c r="B124" i="6"/>
  <c r="C124" i="6" s="1"/>
  <c r="B118" i="6"/>
  <c r="C118" i="6" s="1"/>
  <c r="B104" i="6"/>
  <c r="C104" i="6" s="1"/>
  <c r="B110" i="6"/>
  <c r="C110" i="6" s="1"/>
  <c r="B117" i="6"/>
  <c r="C117" i="6" s="1"/>
  <c r="B120" i="6"/>
  <c r="C120" i="6" s="1"/>
  <c r="B123" i="6"/>
  <c r="C123" i="6" s="1"/>
  <c r="B107" i="6"/>
  <c r="C107" i="6" s="1"/>
  <c r="B127" i="6"/>
  <c r="C127" i="6" s="1"/>
  <c r="B119" i="6"/>
  <c r="C119" i="6" s="1"/>
  <c r="B112" i="6"/>
  <c r="C112" i="6" s="1"/>
  <c r="G8" i="6"/>
  <c r="B100" i="6" s="1"/>
  <c r="C100" i="6" s="1"/>
  <c r="H51" i="6"/>
  <c r="H49" i="6"/>
  <c r="H50" i="6"/>
  <c r="H53" i="6"/>
  <c r="H48" i="6"/>
  <c r="H55" i="6"/>
  <c r="H52" i="6"/>
  <c r="H54" i="6"/>
  <c r="H35" i="6"/>
  <c r="H40" i="6"/>
  <c r="H45" i="6"/>
  <c r="H47" i="6"/>
  <c r="H44" i="6"/>
  <c r="H46" i="6"/>
  <c r="H41" i="6"/>
  <c r="H42" i="6"/>
  <c r="H43" i="6"/>
  <c r="H20" i="6"/>
  <c r="H16" i="6"/>
  <c r="H25" i="6"/>
  <c r="H39" i="6"/>
  <c r="H29" i="6"/>
  <c r="H27" i="6"/>
  <c r="H15" i="6"/>
  <c r="H18" i="6"/>
  <c r="H37" i="6"/>
  <c r="H36" i="6"/>
  <c r="H22" i="6"/>
  <c r="H23" i="6"/>
  <c r="H19" i="6"/>
  <c r="H14" i="6"/>
  <c r="H13" i="6"/>
  <c r="H26" i="6"/>
  <c r="H38" i="6"/>
  <c r="H33" i="6"/>
  <c r="H31" i="6"/>
  <c r="H21" i="6"/>
  <c r="H32" i="6"/>
  <c r="H28" i="6"/>
  <c r="H34" i="6"/>
  <c r="H30" i="6"/>
  <c r="H17" i="6"/>
  <c r="H24" i="6"/>
  <c r="G9" i="6"/>
  <c r="H12" i="6" s="1"/>
  <c r="B70" i="6"/>
  <c r="C70" i="6" s="1"/>
  <c r="B63" i="6"/>
  <c r="C63" i="6" s="1"/>
  <c r="B56" i="6"/>
  <c r="C56" i="6" s="1"/>
  <c r="B45" i="6"/>
  <c r="C45" i="6" s="1"/>
  <c r="B58" i="6" l="1"/>
  <c r="C58" i="6" s="1"/>
  <c r="B85" i="6"/>
  <c r="C85" i="6" s="1"/>
  <c r="B52" i="6"/>
  <c r="C52" i="6" s="1"/>
  <c r="B89" i="6"/>
  <c r="C89" i="6" s="1"/>
  <c r="B87" i="6"/>
  <c r="C87" i="6" s="1"/>
  <c r="B83" i="6"/>
  <c r="C83" i="6" s="1"/>
  <c r="B44" i="6"/>
  <c r="C44" i="6" s="1"/>
  <c r="B53" i="6"/>
  <c r="C53" i="6" s="1"/>
  <c r="B78" i="6"/>
  <c r="C78" i="6" s="1"/>
  <c r="B62" i="6"/>
  <c r="C62" i="6" s="1"/>
  <c r="D165" i="6"/>
  <c r="D77" i="6" s="1"/>
  <c r="D171" i="6"/>
  <c r="D83" i="6" s="1"/>
  <c r="D149" i="6"/>
  <c r="D61" i="6" s="1"/>
  <c r="D157" i="6"/>
  <c r="D69" i="6" s="1"/>
  <c r="D156" i="6"/>
  <c r="D68" i="6" s="1"/>
  <c r="D164" i="6"/>
  <c r="D76" i="6" s="1"/>
  <c r="D128" i="6"/>
  <c r="D40" i="6" s="1"/>
  <c r="D145" i="6"/>
  <c r="D57" i="6" s="1"/>
  <c r="D158" i="6"/>
  <c r="D70" i="6" s="1"/>
  <c r="F70" i="6" s="1"/>
  <c r="G70" i="6" s="1"/>
  <c r="E157" i="6" s="1"/>
  <c r="C175" i="6"/>
  <c r="D136" i="6"/>
  <c r="D48" i="6" s="1"/>
  <c r="D129" i="6"/>
  <c r="D41" i="6" s="1"/>
  <c r="D177" i="6"/>
  <c r="D89" i="6" s="1"/>
  <c r="D139" i="6"/>
  <c r="D51" i="6" s="1"/>
  <c r="C178" i="6"/>
  <c r="B57" i="6"/>
  <c r="C57" i="6" s="1"/>
  <c r="B74" i="6"/>
  <c r="C74" i="6" s="1"/>
  <c r="D130" i="6"/>
  <c r="D42" i="6" s="1"/>
  <c r="D152" i="6"/>
  <c r="D64" i="6" s="1"/>
  <c r="B51" i="6"/>
  <c r="C51" i="6" s="1"/>
  <c r="B82" i="6"/>
  <c r="C82" i="6" s="1"/>
  <c r="D176" i="6"/>
  <c r="D88" i="6" s="1"/>
  <c r="B47" i="6"/>
  <c r="C47" i="6" s="1"/>
  <c r="D155" i="6"/>
  <c r="D67" i="6" s="1"/>
  <c r="B69" i="6"/>
  <c r="C69" i="6" s="1"/>
  <c r="D132" i="6"/>
  <c r="D44" i="6" s="1"/>
  <c r="D167" i="6"/>
  <c r="D79" i="6" s="1"/>
  <c r="D135" i="6"/>
  <c r="D47" i="6" s="1"/>
  <c r="B86" i="6"/>
  <c r="C86" i="6" s="1"/>
  <c r="B73" i="6"/>
  <c r="C73" i="6" s="1"/>
  <c r="B84" i="6"/>
  <c r="C84" i="6" s="1"/>
  <c r="B61" i="6"/>
  <c r="C61" i="6" s="1"/>
  <c r="D166" i="6"/>
  <c r="D78" i="6" s="1"/>
  <c r="D146" i="6"/>
  <c r="D58" i="6" s="1"/>
  <c r="D168" i="6"/>
  <c r="D80" i="6" s="1"/>
  <c r="B60" i="6"/>
  <c r="C60" i="6" s="1"/>
  <c r="B48" i="6"/>
  <c r="C48" i="6" s="1"/>
  <c r="B59" i="6"/>
  <c r="C59" i="6" s="1"/>
  <c r="B80" i="6"/>
  <c r="C80" i="6" s="1"/>
  <c r="B88" i="6"/>
  <c r="C88" i="6" s="1"/>
  <c r="D138" i="6"/>
  <c r="D50" i="6" s="1"/>
  <c r="D163" i="6"/>
  <c r="D75" i="6" s="1"/>
  <c r="D161" i="6"/>
  <c r="D73" i="6" s="1"/>
  <c r="B64" i="6"/>
  <c r="C64" i="6" s="1"/>
  <c r="B42" i="6"/>
  <c r="C42" i="6" s="1"/>
  <c r="D144" i="6"/>
  <c r="D56" i="6" s="1"/>
  <c r="B66" i="6"/>
  <c r="C66" i="6" s="1"/>
  <c r="B71" i="6"/>
  <c r="C71" i="6" s="1"/>
  <c r="D151" i="6"/>
  <c r="D63" i="6" s="1"/>
  <c r="F63" i="6" s="1"/>
  <c r="G63" i="6" s="1"/>
  <c r="E150" i="6" s="1"/>
  <c r="D148" i="6"/>
  <c r="D60" i="6" s="1"/>
  <c r="D178" i="6"/>
  <c r="D90" i="6" s="1"/>
  <c r="F90" i="6" s="1"/>
  <c r="G90" i="6" s="1"/>
  <c r="E177" i="6" s="1"/>
  <c r="D172" i="6"/>
  <c r="D84" i="6" s="1"/>
  <c r="D143" i="6"/>
  <c r="D55" i="6" s="1"/>
  <c r="C177" i="6"/>
  <c r="C169" i="6"/>
  <c r="C179" i="6"/>
  <c r="B91" i="6"/>
  <c r="B77" i="6"/>
  <c r="C77" i="6" s="1"/>
  <c r="D134" i="6"/>
  <c r="D46" i="6" s="1"/>
  <c r="D133" i="6"/>
  <c r="D45" i="6" s="1"/>
  <c r="F45" i="6" s="1"/>
  <c r="G45" i="6" s="1"/>
  <c r="E132" i="6" s="1"/>
  <c r="B67" i="6"/>
  <c r="C67" i="6" s="1"/>
  <c r="B79" i="6"/>
  <c r="C79" i="6" s="1"/>
  <c r="D147" i="6"/>
  <c r="D59" i="6" s="1"/>
  <c r="D137" i="6"/>
  <c r="D49" i="6" s="1"/>
  <c r="B68" i="6"/>
  <c r="C68" i="6" s="1"/>
  <c r="D154" i="6"/>
  <c r="D66" i="6" s="1"/>
  <c r="B72" i="6"/>
  <c r="C72" i="6" s="1"/>
  <c r="D175" i="6"/>
  <c r="D87" i="6" s="1"/>
  <c r="D173" i="6"/>
  <c r="D85" i="6" s="1"/>
  <c r="F85" i="6" s="1"/>
  <c r="G85" i="6" s="1"/>
  <c r="E172" i="6" s="1"/>
  <c r="B54" i="6"/>
  <c r="C54" i="6" s="1"/>
  <c r="B49" i="6"/>
  <c r="C49" i="6" s="1"/>
  <c r="B50" i="6"/>
  <c r="C50" i="6" s="1"/>
  <c r="D140" i="6"/>
  <c r="D52" i="6" s="1"/>
  <c r="F52" i="6" s="1"/>
  <c r="G52" i="6" s="1"/>
  <c r="E139" i="6" s="1"/>
  <c r="D162" i="6"/>
  <c r="D74" i="6" s="1"/>
  <c r="D153" i="6"/>
  <c r="D65" i="6" s="1"/>
  <c r="B43" i="6"/>
  <c r="C43" i="6" s="1"/>
  <c r="B65" i="6"/>
  <c r="C65" i="6" s="1"/>
  <c r="B46" i="6"/>
  <c r="C46" i="6" s="1"/>
  <c r="B75" i="6"/>
  <c r="C75" i="6" s="1"/>
  <c r="D150" i="6"/>
  <c r="D62" i="6" s="1"/>
  <c r="F62" i="6" s="1"/>
  <c r="G62" i="6" s="1"/>
  <c r="E149" i="6" s="1"/>
  <c r="D170" i="6"/>
  <c r="D82" i="6" s="1"/>
  <c r="D141" i="6"/>
  <c r="D53" i="6" s="1"/>
  <c r="B76" i="6"/>
  <c r="C76" i="6" s="1"/>
  <c r="B55" i="6"/>
  <c r="C55" i="6" s="1"/>
  <c r="B40" i="6"/>
  <c r="C40" i="6" s="1"/>
  <c r="B41" i="6"/>
  <c r="C41" i="6" s="1"/>
  <c r="D160" i="6"/>
  <c r="D72" i="6" s="1"/>
  <c r="D159" i="6"/>
  <c r="D71" i="6" s="1"/>
  <c r="D131" i="6"/>
  <c r="D43" i="6" s="1"/>
  <c r="D142" i="6"/>
  <c r="D54" i="6" s="1"/>
  <c r="D174" i="6"/>
  <c r="D86" i="6" s="1"/>
  <c r="D169" i="6"/>
  <c r="D81" i="6" s="1"/>
  <c r="F81" i="6" s="1"/>
  <c r="G81" i="6" s="1"/>
  <c r="E168" i="6" s="1"/>
  <c r="B36" i="6"/>
  <c r="C36" i="6" s="1"/>
  <c r="D124" i="6"/>
  <c r="D36" i="6" s="1"/>
  <c r="B39" i="6"/>
  <c r="C39" i="6" s="1"/>
  <c r="B38" i="6"/>
  <c r="C38" i="6" s="1"/>
  <c r="D126" i="6"/>
  <c r="D38" i="6" s="1"/>
  <c r="D127" i="6"/>
  <c r="D39" i="6" s="1"/>
  <c r="B37" i="6"/>
  <c r="C37" i="6" s="1"/>
  <c r="D125" i="6"/>
  <c r="D37" i="6" s="1"/>
  <c r="D119" i="6"/>
  <c r="D31" i="6" s="1"/>
  <c r="B31" i="6"/>
  <c r="C31" i="6" s="1"/>
  <c r="D114" i="6"/>
  <c r="D26" i="6" s="1"/>
  <c r="B29" i="6"/>
  <c r="C29" i="6" s="1"/>
  <c r="B28" i="6"/>
  <c r="C28" i="6" s="1"/>
  <c r="D111" i="6"/>
  <c r="D23" i="6" s="1"/>
  <c r="B35" i="6"/>
  <c r="C35" i="6" s="1"/>
  <c r="B26" i="6"/>
  <c r="C26" i="6" s="1"/>
  <c r="D107" i="6"/>
  <c r="D19" i="6" s="1"/>
  <c r="D110" i="6"/>
  <c r="D22" i="6" s="1"/>
  <c r="B12" i="6"/>
  <c r="C12" i="6" s="1"/>
  <c r="D108" i="6"/>
  <c r="D20" i="6" s="1"/>
  <c r="D109" i="6"/>
  <c r="D21" i="6" s="1"/>
  <c r="B22" i="6"/>
  <c r="D120" i="6"/>
  <c r="D32" i="6" s="1"/>
  <c r="B23" i="6"/>
  <c r="C23" i="6" s="1"/>
  <c r="B24" i="6"/>
  <c r="C24" i="6" s="1"/>
  <c r="B20" i="6"/>
  <c r="C20" i="6" s="1"/>
  <c r="B13" i="6"/>
  <c r="C13" i="6" s="1"/>
  <c r="D123" i="6"/>
  <c r="D35" i="6" s="1"/>
  <c r="B14" i="6"/>
  <c r="C14" i="6" s="1"/>
  <c r="B19" i="6"/>
  <c r="D105" i="6"/>
  <c r="D17" i="6" s="1"/>
  <c r="D116" i="6"/>
  <c r="D28" i="6" s="1"/>
  <c r="B18" i="6"/>
  <c r="C18" i="6" s="1"/>
  <c r="B16" i="6"/>
  <c r="D115" i="6"/>
  <c r="D27" i="6" s="1"/>
  <c r="B27" i="6"/>
  <c r="C27" i="6" s="1"/>
  <c r="D121" i="6"/>
  <c r="D33" i="6" s="1"/>
  <c r="D122" i="6"/>
  <c r="D34" i="6" s="1"/>
  <c r="D117" i="6"/>
  <c r="D29" i="6" s="1"/>
  <c r="D106" i="6"/>
  <c r="D18" i="6" s="1"/>
  <c r="B15" i="6"/>
  <c r="C15" i="6" s="1"/>
  <c r="D102" i="6"/>
  <c r="D14" i="6" s="1"/>
  <c r="B32" i="6"/>
  <c r="B17" i="6"/>
  <c r="C17" i="6" s="1"/>
  <c r="D112" i="6"/>
  <c r="D24" i="6" s="1"/>
  <c r="D103" i="6"/>
  <c r="D15" i="6" s="1"/>
  <c r="B30" i="6"/>
  <c r="C30" i="6" s="1"/>
  <c r="D118" i="6"/>
  <c r="D30" i="6" s="1"/>
  <c r="B25" i="6"/>
  <c r="C25" i="6" s="1"/>
  <c r="B21" i="6"/>
  <c r="D113" i="6"/>
  <c r="D25" i="6" s="1"/>
  <c r="B34" i="6"/>
  <c r="C34" i="6" s="1"/>
  <c r="D104" i="6"/>
  <c r="D16" i="6" s="1"/>
  <c r="B33" i="6"/>
  <c r="D101" i="6"/>
  <c r="D13" i="6" s="1"/>
  <c r="B181" i="6"/>
  <c r="D100" i="6"/>
  <c r="D12" i="6" s="1"/>
  <c r="F56" i="6"/>
  <c r="G56" i="6" s="1"/>
  <c r="E143" i="6" s="1"/>
  <c r="F89" i="6" l="1"/>
  <c r="G89" i="6" s="1"/>
  <c r="E176" i="6" s="1"/>
  <c r="G168" i="6"/>
  <c r="F87" i="6"/>
  <c r="G87" i="6" s="1"/>
  <c r="E174" i="6" s="1"/>
  <c r="G174" i="6" s="1"/>
  <c r="F58" i="6"/>
  <c r="G58" i="6" s="1"/>
  <c r="E145" i="6" s="1"/>
  <c r="G145" i="6" s="1"/>
  <c r="F78" i="6"/>
  <c r="G78" i="6" s="1"/>
  <c r="E165" i="6" s="1"/>
  <c r="G165" i="6" s="1"/>
  <c r="F54" i="6"/>
  <c r="G54" i="6" s="1"/>
  <c r="E141" i="6" s="1"/>
  <c r="G141" i="6" s="1"/>
  <c r="F53" i="6"/>
  <c r="G53" i="6" s="1"/>
  <c r="E140" i="6" s="1"/>
  <c r="G140" i="6" s="1"/>
  <c r="G139" i="6"/>
  <c r="F68" i="6"/>
  <c r="G68" i="6" s="1"/>
  <c r="E155" i="6" s="1"/>
  <c r="G155" i="6" s="1"/>
  <c r="F86" i="6"/>
  <c r="G86" i="6" s="1"/>
  <c r="E173" i="6" s="1"/>
  <c r="G173" i="6" s="1"/>
  <c r="F44" i="6"/>
  <c r="G44" i="6" s="1"/>
  <c r="E131" i="6" s="1"/>
  <c r="G131" i="6" s="1"/>
  <c r="F83" i="6"/>
  <c r="G83" i="6" s="1"/>
  <c r="E170" i="6" s="1"/>
  <c r="G170" i="6" s="1"/>
  <c r="F82" i="6"/>
  <c r="G82" i="6" s="1"/>
  <c r="E169" i="6" s="1"/>
  <c r="G169" i="6" s="1"/>
  <c r="G143" i="6"/>
  <c r="G132" i="6"/>
  <c r="G176" i="6"/>
  <c r="F74" i="6"/>
  <c r="G74" i="6" s="1"/>
  <c r="E161" i="6" s="1"/>
  <c r="G161" i="6" s="1"/>
  <c r="F42" i="6"/>
  <c r="G42" i="6" s="1"/>
  <c r="E129" i="6" s="1"/>
  <c r="G129" i="6" s="1"/>
  <c r="G149" i="6"/>
  <c r="F59" i="6"/>
  <c r="G59" i="6" s="1"/>
  <c r="E146" i="6" s="1"/>
  <c r="G146" i="6" s="1"/>
  <c r="F65" i="6"/>
  <c r="G65" i="6" s="1"/>
  <c r="E152" i="6" s="1"/>
  <c r="G152" i="6" s="1"/>
  <c r="F77" i="6"/>
  <c r="G77" i="6" s="1"/>
  <c r="E164" i="6" s="1"/>
  <c r="G164" i="6" s="1"/>
  <c r="F67" i="6"/>
  <c r="G67" i="6" s="1"/>
  <c r="E154" i="6" s="1"/>
  <c r="G154" i="6" s="1"/>
  <c r="F41" i="6"/>
  <c r="G41" i="6" s="1"/>
  <c r="E128" i="6" s="1"/>
  <c r="G128" i="6" s="1"/>
  <c r="F69" i="6"/>
  <c r="G69" i="6" s="1"/>
  <c r="E156" i="6" s="1"/>
  <c r="G156" i="6" s="1"/>
  <c r="F73" i="6"/>
  <c r="G73" i="6" s="1"/>
  <c r="E160" i="6" s="1"/>
  <c r="G160" i="6" s="1"/>
  <c r="F79" i="6"/>
  <c r="G79" i="6" s="1"/>
  <c r="E166" i="6" s="1"/>
  <c r="G166" i="6" s="1"/>
  <c r="F57" i="6"/>
  <c r="G57" i="6" s="1"/>
  <c r="E144" i="6" s="1"/>
  <c r="G144" i="6" s="1"/>
  <c r="C181" i="6"/>
  <c r="G157" i="6"/>
  <c r="F51" i="6"/>
  <c r="G51" i="6" s="1"/>
  <c r="E138" i="6" s="1"/>
  <c r="G138" i="6" s="1"/>
  <c r="F60" i="6"/>
  <c r="G60" i="6" s="1"/>
  <c r="E147" i="6" s="1"/>
  <c r="G147" i="6" s="1"/>
  <c r="F88" i="6"/>
  <c r="G88" i="6" s="1"/>
  <c r="E175" i="6" s="1"/>
  <c r="G175" i="6" s="1"/>
  <c r="F61" i="6"/>
  <c r="G61" i="6" s="1"/>
  <c r="E148" i="6" s="1"/>
  <c r="G148" i="6" s="1"/>
  <c r="F71" i="6"/>
  <c r="G71" i="6" s="1"/>
  <c r="E158" i="6" s="1"/>
  <c r="G158" i="6" s="1"/>
  <c r="G172" i="6"/>
  <c r="G150" i="6"/>
  <c r="F55" i="6"/>
  <c r="G55" i="6" s="1"/>
  <c r="E142" i="6" s="1"/>
  <c r="G142" i="6" s="1"/>
  <c r="F43" i="6"/>
  <c r="G43" i="6" s="1"/>
  <c r="E130" i="6" s="1"/>
  <c r="G130" i="6" s="1"/>
  <c r="F50" i="6"/>
  <c r="G50" i="6" s="1"/>
  <c r="E137" i="6" s="1"/>
  <c r="G137" i="6" s="1"/>
  <c r="G177" i="6"/>
  <c r="F46" i="6"/>
  <c r="G46" i="6" s="1"/>
  <c r="E133" i="6" s="1"/>
  <c r="G133" i="6" s="1"/>
  <c r="F64" i="6"/>
  <c r="G64" i="6" s="1"/>
  <c r="E151" i="6" s="1"/>
  <c r="G151" i="6" s="1"/>
  <c r="F48" i="6"/>
  <c r="G48" i="6" s="1"/>
  <c r="E135" i="6" s="1"/>
  <c r="G135" i="6" s="1"/>
  <c r="F40" i="6"/>
  <c r="G40" i="6" s="1"/>
  <c r="E127" i="6" s="1"/>
  <c r="G127" i="6" s="1"/>
  <c r="F84" i="6"/>
  <c r="G84" i="6" s="1"/>
  <c r="E171" i="6" s="1"/>
  <c r="G171" i="6" s="1"/>
  <c r="F66" i="6"/>
  <c r="G66" i="6" s="1"/>
  <c r="E153" i="6" s="1"/>
  <c r="G153" i="6" s="1"/>
  <c r="F75" i="6"/>
  <c r="G75" i="6" s="1"/>
  <c r="E162" i="6" s="1"/>
  <c r="G162" i="6" s="1"/>
  <c r="F76" i="6"/>
  <c r="G76" i="6" s="1"/>
  <c r="E163" i="6" s="1"/>
  <c r="G163" i="6" s="1"/>
  <c r="F72" i="6"/>
  <c r="G72" i="6" s="1"/>
  <c r="E159" i="6" s="1"/>
  <c r="G159" i="6" s="1"/>
  <c r="F49" i="6"/>
  <c r="G49" i="6" s="1"/>
  <c r="E136" i="6" s="1"/>
  <c r="G136" i="6" s="1"/>
  <c r="F80" i="6"/>
  <c r="G80" i="6" s="1"/>
  <c r="E167" i="6" s="1"/>
  <c r="G167" i="6" s="1"/>
  <c r="F47" i="6"/>
  <c r="G47" i="6" s="1"/>
  <c r="E134" i="6" s="1"/>
  <c r="G134" i="6" s="1"/>
  <c r="C91" i="6"/>
  <c r="F91" i="6" s="1"/>
  <c r="G91" i="6" s="1"/>
  <c r="F31" i="6"/>
  <c r="G31" i="6" s="1"/>
  <c r="E118" i="6" s="1"/>
  <c r="G118" i="6" s="1"/>
  <c r="F24" i="6"/>
  <c r="G24" i="6" s="1"/>
  <c r="E111" i="6" s="1"/>
  <c r="G111" i="6" s="1"/>
  <c r="F14" i="6"/>
  <c r="G14" i="6" s="1"/>
  <c r="E101" i="6" s="1"/>
  <c r="G101" i="6" s="1"/>
  <c r="C33" i="6"/>
  <c r="F33" i="6" s="1"/>
  <c r="G33" i="6" s="1"/>
  <c r="E120" i="6" s="1"/>
  <c r="G120" i="6" s="1"/>
  <c r="C21" i="6"/>
  <c r="F21" i="6" s="1"/>
  <c r="G21" i="6" s="1"/>
  <c r="E108" i="6" s="1"/>
  <c r="G108" i="6" s="1"/>
  <c r="C16" i="6"/>
  <c r="F16" i="6" s="1"/>
  <c r="G16" i="6" s="1"/>
  <c r="E103" i="6" s="1"/>
  <c r="G103" i="6" s="1"/>
  <c r="C19" i="6"/>
  <c r="F19" i="6" s="1"/>
  <c r="G19" i="6" s="1"/>
  <c r="E106" i="6" s="1"/>
  <c r="G106" i="6" s="1"/>
  <c r="C22" i="6"/>
  <c r="F22" i="6" s="1"/>
  <c r="G22" i="6" s="1"/>
  <c r="E109" i="6" s="1"/>
  <c r="G109" i="6" s="1"/>
  <c r="C32" i="6"/>
  <c r="F32" i="6" s="1"/>
  <c r="G32" i="6" s="1"/>
  <c r="E119" i="6" s="1"/>
  <c r="G119" i="6" s="1"/>
  <c r="F36" i="6"/>
  <c r="G36" i="6" s="1"/>
  <c r="E123" i="6" s="1"/>
  <c r="G123" i="6" s="1"/>
  <c r="F26" i="6"/>
  <c r="G26" i="6" s="1"/>
  <c r="E113" i="6" s="1"/>
  <c r="G113" i="6" s="1"/>
  <c r="F38" i="6"/>
  <c r="G38" i="6" s="1"/>
  <c r="E125" i="6" s="1"/>
  <c r="G125" i="6" s="1"/>
  <c r="F25" i="6"/>
  <c r="G25" i="6" s="1"/>
  <c r="E112" i="6" s="1"/>
  <c r="G112" i="6" s="1"/>
  <c r="F37" i="6"/>
  <c r="G37" i="6" s="1"/>
  <c r="E124" i="6" s="1"/>
  <c r="G124" i="6" s="1"/>
  <c r="F34" i="6"/>
  <c r="G34" i="6" s="1"/>
  <c r="E121" i="6" s="1"/>
  <c r="G121" i="6" s="1"/>
  <c r="F23" i="6"/>
  <c r="G23" i="6" s="1"/>
  <c r="E110" i="6" s="1"/>
  <c r="G110" i="6" s="1"/>
  <c r="F29" i="6"/>
  <c r="G29" i="6" s="1"/>
  <c r="E116" i="6" s="1"/>
  <c r="G116" i="6" s="1"/>
  <c r="F15" i="6"/>
  <c r="G15" i="6" s="1"/>
  <c r="E102" i="6" s="1"/>
  <c r="G102" i="6" s="1"/>
  <c r="F39" i="6"/>
  <c r="G39" i="6" s="1"/>
  <c r="E126" i="6" s="1"/>
  <c r="G126" i="6" s="1"/>
  <c r="F13" i="6"/>
  <c r="G13" i="6" s="1"/>
  <c r="K13" i="6" s="1"/>
  <c r="F12" i="6"/>
  <c r="G12" i="6" s="1"/>
  <c r="F18" i="6"/>
  <c r="G18" i="6" s="1"/>
  <c r="E105" i="6" s="1"/>
  <c r="G105" i="6" s="1"/>
  <c r="F17" i="6"/>
  <c r="G17" i="6" s="1"/>
  <c r="E104" i="6" s="1"/>
  <c r="G104" i="6" s="1"/>
  <c r="F27" i="6"/>
  <c r="G27" i="6" s="1"/>
  <c r="E114" i="6" s="1"/>
  <c r="G114" i="6" s="1"/>
  <c r="F30" i="6"/>
  <c r="G30" i="6" s="1"/>
  <c r="E117" i="6" s="1"/>
  <c r="G117" i="6" s="1"/>
  <c r="F28" i="6"/>
  <c r="G28" i="6" s="1"/>
  <c r="E115" i="6" s="1"/>
  <c r="G115" i="6" s="1"/>
  <c r="F20" i="6"/>
  <c r="G20" i="6" s="1"/>
  <c r="E107" i="6" s="1"/>
  <c r="G107" i="6" s="1"/>
  <c r="F35" i="6"/>
  <c r="G35" i="6" s="1"/>
  <c r="E122" i="6" s="1"/>
  <c r="G122" i="6" s="1"/>
  <c r="D181" i="6"/>
  <c r="E178" i="6" l="1"/>
  <c r="G178" i="6" s="1"/>
  <c r="E179" i="6"/>
  <c r="G179" i="6" s="1"/>
  <c r="K12" i="6"/>
  <c r="L12" i="6" s="1"/>
  <c r="E100" i="6"/>
  <c r="B41" i="1"/>
  <c r="D40" i="1"/>
  <c r="B40" i="1"/>
  <c r="F39" i="1"/>
  <c r="D39" i="1"/>
  <c r="B39" i="1"/>
  <c r="A1" i="1" s="1"/>
  <c r="F40" i="1"/>
  <c r="D7" i="7"/>
  <c r="D8" i="7"/>
  <c r="E181" i="6" l="1"/>
  <c r="G100" i="6"/>
  <c r="G181" i="6" s="1"/>
  <c r="C43" i="1" l="1"/>
  <c r="C42" i="1"/>
  <c r="E95" i="1"/>
  <c r="E67" i="1"/>
  <c r="E43" i="1" l="1"/>
  <c r="I67" i="1"/>
  <c r="F96" i="1"/>
  <c r="B95" i="1"/>
  <c r="C95" i="1" s="1"/>
  <c r="E42" i="1"/>
  <c r="G42" i="1" l="1"/>
  <c r="B74" i="1" s="1"/>
  <c r="B92" i="1"/>
  <c r="C92" i="1" s="1"/>
  <c r="B93" i="1"/>
  <c r="C93" i="1" s="1"/>
  <c r="B91" i="1"/>
  <c r="C91" i="1" s="1"/>
  <c r="G43" i="1"/>
  <c r="I46" i="1" s="1"/>
  <c r="I64" i="1"/>
  <c r="I65" i="1"/>
  <c r="I63" i="1"/>
  <c r="I57" i="1"/>
  <c r="I58" i="1"/>
  <c r="I53" i="1"/>
  <c r="I66" i="1"/>
  <c r="I48" i="1"/>
  <c r="I51" i="1"/>
  <c r="I47" i="1"/>
  <c r="I61" i="1"/>
  <c r="I62" i="1"/>
  <c r="I52" i="1"/>
  <c r="I50" i="1"/>
  <c r="I55" i="1"/>
  <c r="I54" i="1"/>
  <c r="I49" i="1"/>
  <c r="I56" i="1"/>
  <c r="I59" i="1"/>
  <c r="I60" i="1"/>
  <c r="B86" i="1"/>
  <c r="C86" i="1" s="1"/>
  <c r="B90" i="1"/>
  <c r="C90" i="1" s="1"/>
  <c r="B77" i="1"/>
  <c r="C77" i="1" s="1"/>
  <c r="B81" i="1"/>
  <c r="C81" i="1" s="1"/>
  <c r="B94" i="1"/>
  <c r="C94" i="1" s="1"/>
  <c r="B83" i="1"/>
  <c r="C83" i="1" s="1"/>
  <c r="B87" i="1"/>
  <c r="C87" i="1" s="1"/>
  <c r="B78" i="1"/>
  <c r="C78" i="1" s="1"/>
  <c r="B82" i="1"/>
  <c r="C82" i="1" s="1"/>
  <c r="B75" i="1"/>
  <c r="C75" i="1" s="1"/>
  <c r="B84" i="1"/>
  <c r="C84" i="1" s="1"/>
  <c r="B88" i="1"/>
  <c r="C88" i="1" s="1"/>
  <c r="B79" i="1"/>
  <c r="C79" i="1" s="1"/>
  <c r="B85" i="1"/>
  <c r="C85" i="1" s="1"/>
  <c r="B89" i="1"/>
  <c r="C89" i="1" s="1"/>
  <c r="B76" i="1"/>
  <c r="B80" i="1"/>
  <c r="C80" i="1" s="1"/>
  <c r="G95" i="1"/>
  <c r="B67" i="1"/>
  <c r="D67" i="1" s="1"/>
  <c r="C76" i="1" l="1"/>
  <c r="D76" i="1"/>
  <c r="E48" i="1" s="1"/>
  <c r="C74" i="1"/>
  <c r="B46" i="1"/>
  <c r="D92" i="1"/>
  <c r="E64" i="1" s="1"/>
  <c r="D91" i="1"/>
  <c r="E63" i="1" s="1"/>
  <c r="D93" i="1"/>
  <c r="E65" i="1" s="1"/>
  <c r="B96" i="1"/>
  <c r="D74" i="1"/>
  <c r="B48" i="1"/>
  <c r="B51" i="1"/>
  <c r="D79" i="1"/>
  <c r="E51" i="1" s="1"/>
  <c r="B54" i="1"/>
  <c r="D82" i="1"/>
  <c r="E54" i="1" s="1"/>
  <c r="B66" i="1"/>
  <c r="D94" i="1"/>
  <c r="E66" i="1" s="1"/>
  <c r="B64" i="1"/>
  <c r="B65" i="1"/>
  <c r="B63" i="1"/>
  <c r="B58" i="1"/>
  <c r="D86" i="1"/>
  <c r="E58" i="1" s="1"/>
  <c r="B47" i="1"/>
  <c r="D75" i="1"/>
  <c r="E47" i="1" s="1"/>
  <c r="B62" i="1"/>
  <c r="D90" i="1"/>
  <c r="E62" i="1" s="1"/>
  <c r="B61" i="1"/>
  <c r="D89" i="1"/>
  <c r="E61" i="1" s="1"/>
  <c r="D88" i="1"/>
  <c r="E60" i="1" s="1"/>
  <c r="B60" i="1"/>
  <c r="B50" i="1"/>
  <c r="D78" i="1"/>
  <c r="E50" i="1" s="1"/>
  <c r="D81" i="1"/>
  <c r="E53" i="1" s="1"/>
  <c r="B53" i="1"/>
  <c r="D80" i="1"/>
  <c r="E52" i="1" s="1"/>
  <c r="B52" i="1"/>
  <c r="B55" i="1"/>
  <c r="D83" i="1"/>
  <c r="E55" i="1" s="1"/>
  <c r="G67" i="1"/>
  <c r="E94" i="1" s="1"/>
  <c r="B57" i="1"/>
  <c r="D85" i="1"/>
  <c r="E57" i="1" s="1"/>
  <c r="B56" i="1"/>
  <c r="D84" i="1"/>
  <c r="E56" i="1" s="1"/>
  <c r="B59" i="1"/>
  <c r="D87" i="1"/>
  <c r="E59" i="1" s="1"/>
  <c r="D77" i="1"/>
  <c r="E49" i="1" s="1"/>
  <c r="B49" i="1"/>
  <c r="D55" i="1" l="1"/>
  <c r="D66" i="1"/>
  <c r="G66" i="1" s="1"/>
  <c r="D49" i="1"/>
  <c r="G49" i="1" s="1"/>
  <c r="E76" i="1" s="1"/>
  <c r="G76" i="1" s="1"/>
  <c r="D64" i="1"/>
  <c r="G64" i="1" s="1"/>
  <c r="E91" i="1" s="1"/>
  <c r="G91" i="1" s="1"/>
  <c r="D52" i="1"/>
  <c r="G52" i="1" s="1"/>
  <c r="D51" i="1"/>
  <c r="G51" i="1" s="1"/>
  <c r="D46" i="1"/>
  <c r="D60" i="1"/>
  <c r="G60" i="1" s="1"/>
  <c r="E87" i="1" s="1"/>
  <c r="G87" i="1" s="1"/>
  <c r="D56" i="1"/>
  <c r="G56" i="1" s="1"/>
  <c r="D57" i="1"/>
  <c r="D63" i="1"/>
  <c r="D54" i="1"/>
  <c r="G54" i="1" s="1"/>
  <c r="E81" i="1" s="1"/>
  <c r="G81" i="1" s="1"/>
  <c r="D53" i="1"/>
  <c r="G53" i="1" s="1"/>
  <c r="D61" i="1"/>
  <c r="D62" i="1"/>
  <c r="D58" i="1"/>
  <c r="G58" i="1" s="1"/>
  <c r="E85" i="1" s="1"/>
  <c r="G85" i="1" s="1"/>
  <c r="D59" i="1"/>
  <c r="G59" i="1" s="1"/>
  <c r="E86" i="1" s="1"/>
  <c r="G86" i="1" s="1"/>
  <c r="D50" i="1"/>
  <c r="G50" i="1" s="1"/>
  <c r="D47" i="1"/>
  <c r="G47" i="1" s="1"/>
  <c r="D65" i="1"/>
  <c r="G65" i="1" s="1"/>
  <c r="E92" i="1" s="1"/>
  <c r="G92" i="1" s="1"/>
  <c r="D48" i="1"/>
  <c r="G48" i="1" s="1"/>
  <c r="E75" i="1" s="1"/>
  <c r="G75" i="1" s="1"/>
  <c r="G63" i="1"/>
  <c r="G61" i="1"/>
  <c r="E88" i="1" s="1"/>
  <c r="G88" i="1" s="1"/>
  <c r="G62" i="1"/>
  <c r="E89" i="1" s="1"/>
  <c r="G89" i="1" s="1"/>
  <c r="G55" i="1"/>
  <c r="G57" i="1"/>
  <c r="E84" i="1" s="1"/>
  <c r="G84" i="1" s="1"/>
  <c r="G94" i="1"/>
  <c r="C96" i="1"/>
  <c r="D96" i="1"/>
  <c r="E46" i="1"/>
  <c r="E83" i="1" l="1"/>
  <c r="G83" i="1" s="1"/>
  <c r="K47" i="1"/>
  <c r="E82" i="1"/>
  <c r="G82" i="1" s="1"/>
  <c r="E78" i="1"/>
  <c r="G78" i="1" s="1"/>
  <c r="E79" i="1"/>
  <c r="G79" i="1" s="1"/>
  <c r="E90" i="1"/>
  <c r="G90" i="1" s="1"/>
  <c r="E93" i="1"/>
  <c r="G93" i="1" s="1"/>
  <c r="E77" i="1"/>
  <c r="G77" i="1" s="1"/>
  <c r="E80" i="1"/>
  <c r="G80" i="1" s="1"/>
  <c r="G46" i="1"/>
  <c r="K46" i="1" l="1"/>
  <c r="L46" i="1" s="1"/>
  <c r="E74" i="1"/>
  <c r="G74" i="1" s="1"/>
  <c r="G96" i="1" s="1"/>
  <c r="E96" i="1" l="1"/>
  <c r="D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HARA</author>
    <author>chikusan16</author>
  </authors>
  <commentList>
    <comment ref="C3" authorId="0" shapeId="0" xr:uid="{00000000-0006-0000-00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リース希望の機械名を記入</t>
        </r>
      </text>
    </comment>
    <comment ref="B7" authorId="0" shapeId="0" xr:uid="{00000000-0006-0000-00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貸付期間を記入</t>
        </r>
      </text>
    </comment>
    <comment ref="B12" authorId="0" shapeId="0" xr:uid="{00000000-0006-0000-00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リース希望の機械の価額を記入（税抜）</t>
        </r>
      </text>
    </comment>
    <comment ref="B13" authorId="1" shapeId="0" xr:uid="{66552ED6-BF43-4391-A0B1-66F4EFBEBFD8}">
      <text>
        <r>
          <rPr>
            <b/>
            <sz val="14"/>
            <color indexed="10"/>
            <rFont val="MS P ゴシック"/>
            <family val="3"/>
            <charset val="128"/>
          </rPr>
          <t>購入金額の１／２以内の金額を記入（税抜）</t>
        </r>
      </text>
    </comment>
    <comment ref="B18" authorId="0" shapeId="0" xr:uid="{00000000-0006-0000-0000-000004000000}">
      <text>
        <r>
          <rPr>
            <b/>
            <sz val="14"/>
            <color indexed="10"/>
            <rFont val="ＭＳ Ｐゴシック"/>
            <family val="3"/>
            <charset val="128"/>
          </rPr>
          <t>貸付期間が７年なので、総合残価率は430。</t>
        </r>
      </text>
    </comment>
    <comment ref="B19" authorId="0" shapeId="0" xr:uid="{00000000-0006-0000-0000-000005000000}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リース希望の哺乳ロボットは、据付固定式（上記以外）に該当するため、保険料率は1.70</t>
        </r>
      </text>
    </comment>
  </commentList>
</comments>
</file>

<file path=xl/sharedStrings.xml><?xml version="1.0" encoding="utf-8"?>
<sst xmlns="http://schemas.openxmlformats.org/spreadsheetml/2006/main" count="224" uniqueCount="152">
  <si>
    <t>保証保険料</t>
    <rPh sb="0" eb="2">
      <t>ホショウ</t>
    </rPh>
    <rPh sb="2" eb="5">
      <t>ホケンリョウ</t>
    </rPh>
    <phoneticPr fontId="2"/>
  </si>
  <si>
    <t>貸付額分</t>
    <rPh sb="0" eb="3">
      <t>カシツケガク</t>
    </rPh>
    <rPh sb="3" eb="4">
      <t>ブン</t>
    </rPh>
    <phoneticPr fontId="2"/>
  </si>
  <si>
    <t>貸付基本</t>
    <rPh sb="0" eb="2">
      <t>カシツケ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</si>
  <si>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</si>
  <si>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補助金分</t>
    <rPh sb="0" eb="3">
      <t>ホジョキン</t>
    </rPh>
    <rPh sb="3" eb="4">
      <t>ブン</t>
    </rPh>
    <phoneticPr fontId="2"/>
  </si>
  <si>
    <t>補助基本</t>
    <rPh sb="0" eb="2">
      <t>ホジョ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</si>
  <si>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</si>
  <si>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基本貸付料</t>
    <rPh sb="0" eb="2">
      <t>キホン</t>
    </rPh>
    <rPh sb="2" eb="5">
      <t>カシツケリョウ</t>
    </rPh>
    <phoneticPr fontId="2"/>
  </si>
  <si>
    <t>消費税額</t>
    <rPh sb="0" eb="3">
      <t>ショウヒゼイ</t>
    </rPh>
    <rPh sb="3" eb="4">
      <t>ガク</t>
    </rPh>
    <phoneticPr fontId="2"/>
  </si>
  <si>
    <t>付加貸付料</t>
    <rPh sb="0" eb="2">
      <t>フカ</t>
    </rPh>
    <rPh sb="2" eb="5">
      <t>カシツケリョウ</t>
    </rPh>
    <phoneticPr fontId="2"/>
  </si>
  <si>
    <t>補助金相当</t>
    <rPh sb="0" eb="3">
      <t>ホジョキン</t>
    </rPh>
    <rPh sb="3" eb="5">
      <t>ソウトウ</t>
    </rPh>
    <phoneticPr fontId="2"/>
  </si>
  <si>
    <t>保証保険料</t>
    <rPh sb="0" eb="2">
      <t>ホショウ</t>
    </rPh>
    <rPh sb="2" eb="5">
      <t>ホケンリョウ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</si>
  <si>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</si>
  <si>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</si>
  <si>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</si>
  <si>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</si>
  <si>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</si>
  <si>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</si>
  <si>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</si>
  <si>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</si>
  <si>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</si>
  <si>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</si>
  <si>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</si>
  <si>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</si>
  <si>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</si>
  <si>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</si>
  <si>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</si>
  <si>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</si>
  <si>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</si>
  <si>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</si>
  <si>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</si>
  <si>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</si>
  <si>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</si>
  <si>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消費税額</t>
    <rPh sb="0" eb="3">
      <t>ショウヒゼイ</t>
    </rPh>
    <rPh sb="3" eb="4">
      <t>ガク</t>
    </rPh>
    <phoneticPr fontId="2"/>
  </si>
  <si>
    <t>１</t>
    <phoneticPr fontId="2"/>
  </si>
  <si>
    <t>回数</t>
    <rPh sb="0" eb="2">
      <t>カイスウ</t>
    </rPh>
    <phoneticPr fontId="2"/>
  </si>
  <si>
    <t>基本貸付料</t>
  </si>
  <si>
    <t>消費税額</t>
  </si>
  <si>
    <t>付加貸付料</t>
  </si>
  <si>
    <t>計</t>
  </si>
  <si>
    <t>保証保険料</t>
  </si>
  <si>
    <t>譲渡料</t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</si>
  <si>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</si>
  <si>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</si>
  <si>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附加貸付料</t>
    <rPh sb="0" eb="2">
      <t>フカ</t>
    </rPh>
    <phoneticPr fontId="2"/>
  </si>
  <si>
    <t>附加貸付料</t>
    <rPh sb="0" eb="2">
      <t>フカ</t>
    </rPh>
    <rPh sb="2" eb="5">
      <t>カシツケリョウ</t>
    </rPh>
    <phoneticPr fontId="2"/>
  </si>
  <si>
    <t>支払額合計</t>
    <rPh sb="0" eb="3">
      <t>シハライガク</t>
    </rPh>
    <rPh sb="3" eb="5">
      <t>ゴウケイ</t>
    </rPh>
    <phoneticPr fontId="2"/>
  </si>
  <si>
    <t>各回支払額計</t>
    <rPh sb="0" eb="2">
      <t>カクカイ</t>
    </rPh>
    <rPh sb="2" eb="5">
      <t>シハライガク</t>
    </rPh>
    <rPh sb="5" eb="6">
      <t>ケイ</t>
    </rPh>
    <phoneticPr fontId="2"/>
  </si>
  <si>
    <t>購入価額（円）</t>
    <rPh sb="0" eb="2">
      <t>コウニュウ</t>
    </rPh>
    <rPh sb="5" eb="6">
      <t>エン</t>
    </rPh>
    <phoneticPr fontId="2"/>
  </si>
  <si>
    <t>購入価額（円）</t>
    <rPh sb="0" eb="2">
      <t>コウニュウ</t>
    </rPh>
    <rPh sb="2" eb="4">
      <t>カガク</t>
    </rPh>
    <rPh sb="5" eb="6">
      <t>エン</t>
    </rPh>
    <phoneticPr fontId="2"/>
  </si>
  <si>
    <t>保証保険料率</t>
    <rPh sb="0" eb="2">
      <t>ホショウ</t>
    </rPh>
    <rPh sb="2" eb="4">
      <t>ホケン</t>
    </rPh>
    <rPh sb="4" eb="6">
      <t>リョウリツ</t>
    </rPh>
    <phoneticPr fontId="2"/>
  </si>
  <si>
    <t>取得価額（円）</t>
    <rPh sb="0" eb="2">
      <t>シュトク</t>
    </rPh>
    <rPh sb="2" eb="4">
      <t>カガク</t>
    </rPh>
    <rPh sb="5" eb="6">
      <t>エン</t>
    </rPh>
    <phoneticPr fontId="2"/>
  </si>
  <si>
    <t>附加貸付料率</t>
    <rPh sb="0" eb="2">
      <t>フカ</t>
    </rPh>
    <rPh sb="2" eb="4">
      <t>カシツケ</t>
    </rPh>
    <rPh sb="4" eb="5">
      <t>リョウ</t>
    </rPh>
    <rPh sb="5" eb="6">
      <t>リツ</t>
    </rPh>
    <phoneticPr fontId="2"/>
  </si>
  <si>
    <t>補助金（円）</t>
    <rPh sb="0" eb="3">
      <t>ホジョキン</t>
    </rPh>
    <rPh sb="4" eb="5">
      <t>エン</t>
    </rPh>
    <phoneticPr fontId="2"/>
  </si>
  <si>
    <t>貸付期間（年）</t>
    <rPh sb="5" eb="6">
      <t>ネン</t>
    </rPh>
    <phoneticPr fontId="2"/>
  </si>
  <si>
    <t>附加貸付利率</t>
    <rPh sb="0" eb="2">
      <t>フカ</t>
    </rPh>
    <phoneticPr fontId="2"/>
  </si>
  <si>
    <t>保証保険料率</t>
    <rPh sb="0" eb="2">
      <t>ホショウ</t>
    </rPh>
    <phoneticPr fontId="2"/>
  </si>
  <si>
    <t>各回支払額計</t>
    <rPh sb="0" eb="2">
      <t>カクカイ</t>
    </rPh>
    <rPh sb="5" eb="6">
      <t>ケイ</t>
    </rPh>
    <phoneticPr fontId="2"/>
  </si>
  <si>
    <t>貸付期間（年）</t>
    <rPh sb="0" eb="2">
      <t>カシツケ</t>
    </rPh>
    <rPh sb="2" eb="4">
      <t>キカン</t>
    </rPh>
    <rPh sb="5" eb="6">
      <t>ネン</t>
    </rPh>
    <phoneticPr fontId="2"/>
  </si>
  <si>
    <t>（貸付期間×４）</t>
    <rPh sb="1" eb="3">
      <t>カシツケ</t>
    </rPh>
    <rPh sb="3" eb="5">
      <t>キカン</t>
    </rPh>
    <phoneticPr fontId="2"/>
  </si>
  <si>
    <t>支払回数（回）</t>
    <rPh sb="0" eb="2">
      <t>シハライ</t>
    </rPh>
    <rPh sb="2" eb="4">
      <t>カイスウ</t>
    </rPh>
    <rPh sb="5" eb="6">
      <t>カイ</t>
    </rPh>
    <phoneticPr fontId="2"/>
  </si>
  <si>
    <t>注１）色付きのセルのみ入力</t>
    <rPh sb="0" eb="1">
      <t>チュウ</t>
    </rPh>
    <phoneticPr fontId="2"/>
  </si>
  <si>
    <t>注２）金額は、全て税抜きの額を入力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</si>
  <si>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注３）通常リースの場合の購入価額と取得価額は、同額を入力</t>
    <rPh sb="0" eb="1">
      <t>チュウ</t>
    </rPh>
    <rPh sb="3" eb="5">
      <t>ツウジョウ</t>
    </rPh>
    <rPh sb="9" eb="11">
      <t>バアイ</t>
    </rPh>
    <rPh sb="12" eb="14">
      <t>コウニュウ</t>
    </rPh>
    <rPh sb="14" eb="16">
      <t>カガク</t>
    </rPh>
    <rPh sb="17" eb="19">
      <t>シュトク</t>
    </rPh>
    <rPh sb="19" eb="21">
      <t>カガク</t>
    </rPh>
    <rPh sb="23" eb="25">
      <t>ドウガク</t>
    </rPh>
    <rPh sb="26" eb="28">
      <t>ニュウリョク</t>
    </rPh>
    <phoneticPr fontId="2"/>
  </si>
  <si>
    <t>注４）保険料負担金は、保険料負担金のシートで数値等を入力</t>
    <rPh sb="0" eb="1">
      <t>チュウ</t>
    </rPh>
    <rPh sb="3" eb="6">
      <t>ホケンリョウ</t>
    </rPh>
    <rPh sb="6" eb="9">
      <t>フタンキン</t>
    </rPh>
    <rPh sb="11" eb="14">
      <t>ホケンリョウ</t>
    </rPh>
    <rPh sb="14" eb="17">
      <t>フタンキン</t>
    </rPh>
    <rPh sb="22" eb="24">
      <t>スウチ</t>
    </rPh>
    <rPh sb="24" eb="25">
      <t>トウ</t>
    </rPh>
    <rPh sb="26" eb="28">
      <t>ニュウリョク</t>
    </rPh>
    <phoneticPr fontId="2"/>
  </si>
  <si>
    <t>注２）金額は、全て税抜きの額を入力</t>
    <rPh sb="0" eb="1">
      <t>チュウ</t>
    </rPh>
    <rPh sb="3" eb="4">
      <t>キン</t>
    </rPh>
    <rPh sb="4" eb="5">
      <t>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</si>
  <si>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</si>
  <si>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年１回払の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</si>
  <si>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年４回払の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</si>
  <si>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総合残価率</t>
    <rPh sb="0" eb="2">
      <t>ソウゴウ</t>
    </rPh>
    <rPh sb="2" eb="4">
      <t>ザンカ</t>
    </rPh>
    <rPh sb="4" eb="5">
      <t>リツ</t>
    </rPh>
    <phoneticPr fontId="2"/>
  </si>
  <si>
    <t>保険料率</t>
    <rPh sb="0" eb="2">
      <t>ホケン</t>
    </rPh>
    <rPh sb="2" eb="4">
      <t>リョウリツ</t>
    </rPh>
    <phoneticPr fontId="2"/>
  </si>
  <si>
    <t>※貸付期間×４</t>
    <rPh sb="1" eb="3">
      <t>カシツケ</t>
    </rPh>
    <rPh sb="3" eb="5">
      <t>キカン</t>
    </rPh>
    <phoneticPr fontId="2"/>
  </si>
  <si>
    <t>　　　●総合残価率</t>
    <rPh sb="4" eb="6">
      <t>ソウゴウ</t>
    </rPh>
    <rPh sb="6" eb="8">
      <t>ザンカ</t>
    </rPh>
    <rPh sb="8" eb="9">
      <t>リツ</t>
    </rPh>
    <phoneticPr fontId="2"/>
  </si>
  <si>
    <t>消費税率</t>
    <rPh sb="0" eb="3">
      <t>ショウヒゼイ</t>
    </rPh>
    <rPh sb="3" eb="4">
      <t>リツ</t>
    </rPh>
    <phoneticPr fontId="2"/>
  </si>
  <si>
    <t>１　貸付希望施設等</t>
    <rPh sb="2" eb="4">
      <t>カシツケ</t>
    </rPh>
    <rPh sb="4" eb="6">
      <t>キボウ</t>
    </rPh>
    <rPh sb="6" eb="8">
      <t>シセツ</t>
    </rPh>
    <rPh sb="8" eb="9">
      <t>トウ</t>
    </rPh>
    <phoneticPr fontId="2"/>
  </si>
  <si>
    <t>２　貸付料等関係</t>
    <rPh sb="2" eb="5">
      <t>カシツケリョウ</t>
    </rPh>
    <rPh sb="5" eb="6">
      <t>トウ</t>
    </rPh>
    <rPh sb="6" eb="8">
      <t>カンケイ</t>
    </rPh>
    <phoneticPr fontId="2"/>
  </si>
  <si>
    <t>注１）金額は、全て税抜きの額を入力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</si>
  <si>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支払回数</t>
    <rPh sb="0" eb="2">
      <t>シハライ</t>
    </rPh>
    <rPh sb="2" eb="4">
      <t>カイスウ</t>
    </rPh>
    <phoneticPr fontId="2"/>
  </si>
  <si>
    <t>支払回数</t>
    <rPh sb="0" eb="2">
      <t>シハライ</t>
    </rPh>
    <rPh sb="3" eb="4">
      <t>スウ</t>
    </rPh>
    <phoneticPr fontId="2"/>
  </si>
  <si>
    <t>３　保険料負担金（動産総合保険料）関係</t>
    <rPh sb="2" eb="5">
      <t>ホケンリョウ</t>
    </rPh>
    <rPh sb="5" eb="8">
      <t>フタンキン</t>
    </rPh>
    <rPh sb="9" eb="11">
      <t>ドウサン</t>
    </rPh>
    <rPh sb="11" eb="13">
      <t>ソウゴウ</t>
    </rPh>
    <rPh sb="13" eb="15">
      <t>ホケン</t>
    </rPh>
    <rPh sb="15" eb="16">
      <t>リョウ</t>
    </rPh>
    <rPh sb="17" eb="19">
      <t>カンケイ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</si>
  <si>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</si>
  <si>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</si>
  <si>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</si>
  <si>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</si>
  <si>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</si>
  <si>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</si>
  <si>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</si>
  <si>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</si>
  <si>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</si>
  <si>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</si>
  <si>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</si>
  <si>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</si>
  <si>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</si>
  <si>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</si>
  <si>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</si>
  <si>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</si>
  <si>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</si>
  <si>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</si>
  <si>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</si>
  <si>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</si>
  <si>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附加貸付料率</t>
    <rPh sb="0" eb="2">
      <t>フカ</t>
    </rPh>
    <rPh sb="4" eb="5">
      <t>リョウ</t>
    </rPh>
    <phoneticPr fontId="2"/>
  </si>
  <si>
    <t>附加貸付料率</t>
    <rPh sb="0" eb="2">
      <t>フカ</t>
    </rPh>
    <rPh sb="2" eb="5">
      <t>カシツケリョウ</t>
    </rPh>
    <rPh sb="5" eb="6">
      <t>リツ</t>
    </rPh>
    <phoneticPr fontId="2"/>
  </si>
  <si>
    <t>貸付希望施設等</t>
    <rPh sb="0" eb="2">
      <t>カシツケ</t>
    </rPh>
    <rPh sb="2" eb="4">
      <t>キボウ</t>
    </rPh>
    <rPh sb="4" eb="6">
      <t>シセツ</t>
    </rPh>
    <rPh sb="6" eb="7">
      <t>トウ</t>
    </rPh>
    <phoneticPr fontId="2"/>
  </si>
  <si>
    <t>購入価額（税抜）</t>
    <rPh sb="0" eb="2">
      <t>コウニュウ</t>
    </rPh>
    <rPh sb="2" eb="4">
      <t>カガク</t>
    </rPh>
    <rPh sb="5" eb="7">
      <t>ゼイヌ</t>
    </rPh>
    <phoneticPr fontId="2"/>
  </si>
  <si>
    <t>購入価額（税抜）</t>
    <rPh sb="0" eb="2">
      <t>コウニュウ</t>
    </rPh>
    <rPh sb="5" eb="7">
      <t>ゼイヌ</t>
    </rPh>
    <phoneticPr fontId="2"/>
  </si>
  <si>
    <r>
      <t xml:space="preserve">保険料負担金
</t>
    </r>
    <r>
      <rPr>
        <sz val="9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</si>
  <si>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r>
      <t xml:space="preserve">保険料負担金
</t>
    </r>
    <r>
      <rPr>
        <sz val="8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</si>
  <si>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t>取得価額（税抜）</t>
    <rPh sb="0" eb="2">
      <t>シュトク</t>
    </rPh>
    <rPh sb="2" eb="4">
      <t>カガク</t>
    </rPh>
    <rPh sb="5" eb="7">
      <t>ゼイヌ</t>
    </rPh>
    <phoneticPr fontId="2"/>
  </si>
  <si>
    <t>消費税率</t>
    <rPh sb="0" eb="3">
      <t>ショウヒゼイ</t>
    </rPh>
    <rPh sb="3" eb="4">
      <t>リツ</t>
    </rPh>
    <phoneticPr fontId="2"/>
  </si>
  <si>
    <t>綜合残価率</t>
    <rPh sb="0" eb="2">
      <t>ソウゴウ</t>
    </rPh>
    <rPh sb="2" eb="4">
      <t>ザンカ</t>
    </rPh>
    <rPh sb="4" eb="5">
      <t>リツ</t>
    </rPh>
    <phoneticPr fontId="2"/>
  </si>
  <si>
    <t>貸付期間(年）</t>
    <rPh sb="0" eb="2">
      <t>カシツケ</t>
    </rPh>
    <rPh sb="2" eb="4">
      <t>キカン</t>
    </rPh>
    <rPh sb="5" eb="6">
      <t>ネン</t>
    </rPh>
    <phoneticPr fontId="2"/>
  </si>
  <si>
    <t>経営リース</t>
    <rPh sb="0" eb="2">
      <t>ケイエイ</t>
    </rPh>
    <phoneticPr fontId="2"/>
  </si>
  <si>
    <t>主な貸付施設等</t>
    <rPh sb="0" eb="1">
      <t>オモ</t>
    </rPh>
    <rPh sb="2" eb="4">
      <t>カシツケ</t>
    </rPh>
    <rPh sb="4" eb="6">
      <t>シセツ</t>
    </rPh>
    <rPh sb="6" eb="7">
      <t>トウ</t>
    </rPh>
    <phoneticPr fontId="2"/>
  </si>
  <si>
    <r>
      <t xml:space="preserve">保険料率
</t>
    </r>
    <r>
      <rPr>
        <sz val="8"/>
        <rFont val="ＭＳ Ｐゴシック"/>
        <family val="3"/>
        <charset val="128"/>
      </rPr>
      <t>（保険金額1000円につき）</t>
    </r>
    <rPh sb="0" eb="2">
      <t>ホケン</t>
    </rPh>
    <rPh sb="2" eb="3">
      <t>リョウ</t>
    </rPh>
    <rPh sb="3" eb="4">
      <t>リツ</t>
    </rPh>
    <rPh sb="6" eb="8">
      <t>ホケン</t>
    </rPh>
    <rPh sb="8" eb="10">
      <t>キンガク</t>
    </rPh>
    <rPh sb="14" eb="15">
      <t>エン</t>
    </rPh>
    <phoneticPr fontId="2"/>
  </si>
  <si>
    <t>ショベルローダー　他</t>
    <rPh sb="9" eb="10">
      <t>タ</t>
    </rPh>
    <phoneticPr fontId="2"/>
  </si>
  <si>
    <t>バーンクリーナー、バーンクリーナー(チェーン）</t>
    <phoneticPr fontId="2"/>
  </si>
  <si>
    <t>攪拌発酵機、発酵機、攪拌乾燥機、固液分離機　他</t>
    <rPh sb="0" eb="2">
      <t>カクハン</t>
    </rPh>
    <rPh sb="2" eb="4">
      <t>ハッコウ</t>
    </rPh>
    <rPh sb="4" eb="5">
      <t>キ</t>
    </rPh>
    <rPh sb="6" eb="8">
      <t>ハッコウ</t>
    </rPh>
    <rPh sb="8" eb="9">
      <t>キ</t>
    </rPh>
    <rPh sb="10" eb="12">
      <t>カクハン</t>
    </rPh>
    <rPh sb="12" eb="15">
      <t>カンソウキ</t>
    </rPh>
    <rPh sb="16" eb="18">
      <t>コエキ</t>
    </rPh>
    <rPh sb="18" eb="21">
      <t>ブンリキ</t>
    </rPh>
    <rPh sb="22" eb="23">
      <t>タ</t>
    </rPh>
    <phoneticPr fontId="2"/>
  </si>
  <si>
    <t>換気扇、送風機、自動給餌機、飼料攪拌機　他</t>
    <rPh sb="0" eb="3">
      <t>カンキセン</t>
    </rPh>
    <rPh sb="4" eb="7">
      <t>ソウフウキ</t>
    </rPh>
    <rPh sb="8" eb="10">
      <t>ジドウ</t>
    </rPh>
    <rPh sb="10" eb="12">
      <t>キュウジ</t>
    </rPh>
    <rPh sb="12" eb="13">
      <t>キ</t>
    </rPh>
    <rPh sb="14" eb="16">
      <t>シリョウ</t>
    </rPh>
    <rPh sb="16" eb="18">
      <t>カクハン</t>
    </rPh>
    <rPh sb="18" eb="19">
      <t>キ</t>
    </rPh>
    <rPh sb="20" eb="21">
      <t>タ</t>
    </rPh>
    <phoneticPr fontId="2"/>
  </si>
  <si>
    <t>ハーベスター、モア、レーキ、ラッピングマシーン　他</t>
    <rPh sb="24" eb="25">
      <t>タ</t>
    </rPh>
    <phoneticPr fontId="2"/>
  </si>
  <si>
    <t>食肉リース</t>
    <rPh sb="0" eb="2">
      <t>ショクニク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</si>
  <si>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</si>
  <si>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室内運搬機　他</t>
    <rPh sb="0" eb="2">
      <t>シツナイ</t>
    </rPh>
    <rPh sb="2" eb="4">
      <t>ウンパン</t>
    </rPh>
    <rPh sb="4" eb="5">
      <t>キ</t>
    </rPh>
    <rPh sb="6" eb="7">
      <t>タ</t>
    </rPh>
    <phoneticPr fontId="2"/>
  </si>
  <si>
    <t>冷蔵冷凍ショーケース、非冷ショーケース　他</t>
    <rPh sb="0" eb="2">
      <t>レイゾウ</t>
    </rPh>
    <rPh sb="2" eb="4">
      <t>レイトウ</t>
    </rPh>
    <rPh sb="11" eb="13">
      <t>ヒレイ</t>
    </rPh>
    <rPh sb="20" eb="21">
      <t>タ</t>
    </rPh>
    <phoneticPr fontId="2"/>
  </si>
  <si>
    <t>冷凍機、冷凍冷蔵庫、冷凍冷蔵装置、ミートスライサー、ラベラー、チョッパー、フライヤー、包装機　他</t>
    <rPh sb="0" eb="3">
      <t>レイトウキ</t>
    </rPh>
    <rPh sb="4" eb="6">
      <t>レイトウ</t>
    </rPh>
    <rPh sb="6" eb="9">
      <t>レイゾウコ</t>
    </rPh>
    <rPh sb="10" eb="12">
      <t>レイトウ</t>
    </rPh>
    <rPh sb="12" eb="14">
      <t>レイゾウ</t>
    </rPh>
    <rPh sb="14" eb="16">
      <t>ソウチ</t>
    </rPh>
    <rPh sb="43" eb="46">
      <t>ホウソウキ</t>
    </rPh>
    <rPh sb="47" eb="48">
      <t>タ</t>
    </rPh>
    <phoneticPr fontId="2"/>
  </si>
  <si>
    <t>コンピュータ、自動計量機　他</t>
    <rPh sb="7" eb="9">
      <t>ジドウ</t>
    </rPh>
    <rPh sb="9" eb="12">
      <t>ケイリョウキ</t>
    </rPh>
    <rPh sb="13" eb="14">
      <t>タ</t>
    </rPh>
    <phoneticPr fontId="2"/>
  </si>
  <si>
    <t>11年</t>
    <rPh sb="2" eb="3">
      <t>ネン</t>
    </rPh>
    <phoneticPr fontId="2"/>
  </si>
  <si>
    <t>平成28年度</t>
    <rPh sb="0" eb="2">
      <t>ヘイセイ</t>
    </rPh>
    <rPh sb="4" eb="6">
      <t>ネンド</t>
    </rPh>
    <phoneticPr fontId="2"/>
  </si>
  <si>
    <r>
      <t>○基本情報（入力項目）　</t>
    </r>
    <r>
      <rPr>
        <b/>
        <sz val="14"/>
        <color rgb="FFFF0000"/>
        <rFont val="ＭＳ Ｐゴシック"/>
        <family val="3"/>
        <charset val="128"/>
      </rPr>
      <t>黄色のセルのみ入力</t>
    </r>
    <rPh sb="1" eb="3">
      <t>キホン</t>
    </rPh>
    <rPh sb="3" eb="5">
      <t>ジョウホウ</t>
    </rPh>
    <rPh sb="6" eb="8">
      <t>ニュウリョク</t>
    </rPh>
    <rPh sb="8" eb="10">
      <t>コウモク</t>
    </rPh>
    <rPh sb="12" eb="14">
      <t>キイロ</t>
    </rPh>
    <rPh sb="19" eb="21">
      <t>ニュウリョク</t>
    </rPh>
    <phoneticPr fontId="2"/>
  </si>
  <si>
    <t>↑保証保険料の計算（合算してラウンドの場合の修正値）</t>
    <rPh sb="1" eb="3">
      <t>ホショウ</t>
    </rPh>
    <rPh sb="3" eb="6">
      <t>ホケンリョウ</t>
    </rPh>
    <rPh sb="7" eb="9">
      <t>ケイサン</t>
    </rPh>
    <rPh sb="10" eb="12">
      <t>ガッサン</t>
    </rPh>
    <rPh sb="19" eb="21">
      <t>バアイ</t>
    </rPh>
    <rPh sb="22" eb="24">
      <t>シュウセイ</t>
    </rPh>
    <rPh sb="24" eb="25">
      <t>チ</t>
    </rPh>
    <phoneticPr fontId="2"/>
  </si>
  <si>
    <t>補助金に係る消費税相当額（円）</t>
    <rPh sb="0" eb="3">
      <t>ホジョキン</t>
    </rPh>
    <rPh sb="4" eb="5">
      <t>カカ</t>
    </rPh>
    <rPh sb="6" eb="12">
      <t>ショウヒゼイソウトウガク</t>
    </rPh>
    <rPh sb="13" eb="14">
      <t>エン</t>
    </rPh>
    <phoneticPr fontId="2"/>
  </si>
  <si>
    <t>哺乳ロボット</t>
    <rPh sb="0" eb="2">
      <t>ホニュウ</t>
    </rPh>
    <phoneticPr fontId="2"/>
  </si>
  <si>
    <t>注）貸付希望機械装置の「総合残価率」、「保険料率」を右表を参考に入力</t>
    <rPh sb="0" eb="1">
      <t>チュウ</t>
    </rPh>
    <rPh sb="2" eb="4">
      <t>カシツケ</t>
    </rPh>
    <rPh sb="4" eb="6">
      <t>キボウ</t>
    </rPh>
    <rPh sb="6" eb="8">
      <t>キカイ</t>
    </rPh>
    <rPh sb="8" eb="10">
      <t>ソウチ</t>
    </rPh>
    <rPh sb="12" eb="14">
      <t>ソウゴウ</t>
    </rPh>
    <rPh sb="14" eb="16">
      <t>ザンカ</t>
    </rPh>
    <rPh sb="16" eb="17">
      <t>リツ</t>
    </rPh>
    <rPh sb="20" eb="22">
      <t>ホケン</t>
    </rPh>
    <rPh sb="22" eb="24">
      <t>リョウリツ</t>
    </rPh>
    <rPh sb="26" eb="28">
      <t>ウヒョウ</t>
    </rPh>
    <rPh sb="29" eb="31">
      <t>サンコウ</t>
    </rPh>
    <rPh sb="32" eb="34">
      <t>ニュウリョク</t>
    </rPh>
    <phoneticPr fontId="2"/>
  </si>
  <si>
    <t>補助金に係る消費税相当額　※</t>
    <rPh sb="0" eb="3">
      <t>ホジョキン</t>
    </rPh>
    <rPh sb="4" eb="5">
      <t>カカ</t>
    </rPh>
    <rPh sb="6" eb="12">
      <t>ショウヒゼイソウトウガク</t>
    </rPh>
    <phoneticPr fontId="2"/>
  </si>
  <si>
    <t>※第１回支払の際に納付していただきます。</t>
    <rPh sb="1" eb="2">
      <t>ダイ</t>
    </rPh>
    <rPh sb="3" eb="4">
      <t>カイ</t>
    </rPh>
    <rPh sb="4" eb="6">
      <t>シハライ</t>
    </rPh>
    <rPh sb="7" eb="8">
      <t>サイ</t>
    </rPh>
    <rPh sb="9" eb="11">
      <t>ノウフ</t>
    </rPh>
    <phoneticPr fontId="2"/>
  </si>
  <si>
    <t>＊補助金に係る消費税相当額は、借受者が第１回目の貸付料等納入時に納付。</t>
    <rPh sb="1" eb="4">
      <t>ホジョキン</t>
    </rPh>
    <rPh sb="5" eb="6">
      <t>カカ</t>
    </rPh>
    <rPh sb="7" eb="10">
      <t>ショウヒゼイ</t>
    </rPh>
    <rPh sb="10" eb="13">
      <t>ソウトウガク</t>
    </rPh>
    <rPh sb="15" eb="18">
      <t>カリウケシャ</t>
    </rPh>
    <rPh sb="19" eb="20">
      <t>ダイ</t>
    </rPh>
    <rPh sb="21" eb="23">
      <t>カイメ</t>
    </rPh>
    <rPh sb="24" eb="27">
      <t>カシツケリョウ</t>
    </rPh>
    <rPh sb="27" eb="28">
      <t>トウ</t>
    </rPh>
    <rPh sb="28" eb="30">
      <t>ノウニュウ</t>
    </rPh>
    <rPh sb="30" eb="31">
      <t>ジ</t>
    </rPh>
    <rPh sb="32" eb="34">
      <t>ノウフ</t>
    </rPh>
    <phoneticPr fontId="2"/>
  </si>
  <si>
    <t>運搬用器具
（自走式のもの）</t>
    <rPh sb="0" eb="3">
      <t>ウンパンヨウ</t>
    </rPh>
    <rPh sb="3" eb="5">
      <t>キグ</t>
    </rPh>
    <rPh sb="7" eb="10">
      <t>ジソウシキ</t>
    </rPh>
    <phoneticPr fontId="18"/>
  </si>
  <si>
    <t>上記以外のもの</t>
    <rPh sb="0" eb="2">
      <t>ジョウキ</t>
    </rPh>
    <rPh sb="2" eb="4">
      <t>イガイ</t>
    </rPh>
    <phoneticPr fontId="18"/>
  </si>
  <si>
    <t>据付固定式のもの</t>
    <rPh sb="0" eb="2">
      <t>スエツケ</t>
    </rPh>
    <rPh sb="2" eb="4">
      <t>コテイ</t>
    </rPh>
    <rPh sb="4" eb="5">
      <t>シキ</t>
    </rPh>
    <phoneticPr fontId="18"/>
  </si>
  <si>
    <t>主 な 貸 付 機 械 等</t>
    <rPh sb="0" eb="1">
      <t>オモ</t>
    </rPh>
    <rPh sb="4" eb="5">
      <t>カシ</t>
    </rPh>
    <rPh sb="6" eb="7">
      <t>ツキ</t>
    </rPh>
    <rPh sb="8" eb="9">
      <t>キ</t>
    </rPh>
    <rPh sb="10" eb="11">
      <t>カイ</t>
    </rPh>
    <rPh sb="12" eb="13">
      <t>トウ</t>
    </rPh>
    <phoneticPr fontId="2"/>
  </si>
  <si>
    <t>　　　●保険料率（経営（ICT、楽酪GO））20210401～</t>
    <rPh sb="4" eb="6">
      <t>ホケン</t>
    </rPh>
    <rPh sb="6" eb="8">
      <t>リョウリツ</t>
    </rPh>
    <rPh sb="9" eb="11">
      <t>ケイエイ</t>
    </rPh>
    <rPh sb="16" eb="18">
      <t>ラクラク</t>
    </rPh>
    <phoneticPr fontId="2"/>
  </si>
  <si>
    <t>　　　【動産保険料負担金の入力に使用する数値】</t>
    <rPh sb="4" eb="6">
      <t>ドウサン</t>
    </rPh>
    <rPh sb="6" eb="9">
      <t>ホケンリョウ</t>
    </rPh>
    <rPh sb="9" eb="12">
      <t>フタンキン</t>
    </rPh>
    <rPh sb="13" eb="15">
      <t>ニュウリョク</t>
    </rPh>
    <rPh sb="16" eb="18">
      <t>シヨウ</t>
    </rPh>
    <rPh sb="20" eb="22">
      <t>スウチ</t>
    </rPh>
    <phoneticPr fontId="2"/>
  </si>
  <si>
    <t>注２）経営（畜産ICT,楽酪GO)リースは、国から借受者に購入価額の２分の１以内の補助金が交付される。</t>
    <rPh sb="0" eb="1">
      <t>チュウ</t>
    </rPh>
    <rPh sb="3" eb="5">
      <t>ケイエイ</t>
    </rPh>
    <rPh sb="6" eb="8">
      <t>チクサン</t>
    </rPh>
    <rPh sb="12" eb="14">
      <t>ラクラク</t>
    </rPh>
    <rPh sb="22" eb="23">
      <t>クニ</t>
    </rPh>
    <rPh sb="25" eb="28">
      <t>カリウケシャ</t>
    </rPh>
    <rPh sb="29" eb="31">
      <t>コウニュウ</t>
    </rPh>
    <rPh sb="31" eb="33">
      <t>カガク</t>
    </rPh>
    <rPh sb="35" eb="36">
      <t>ブン</t>
    </rPh>
    <rPh sb="38" eb="40">
      <t>イナイ</t>
    </rPh>
    <rPh sb="41" eb="44">
      <t>ホジョキン</t>
    </rPh>
    <rPh sb="45" eb="47">
      <t>コウフ</t>
    </rPh>
    <phoneticPr fontId="2"/>
  </si>
  <si>
    <t>試算表（経営（畜産ICT,楽酪GO）リース）</t>
    <rPh sb="4" eb="6">
      <t>ケイエイ</t>
    </rPh>
    <rPh sb="7" eb="9">
      <t>チクサン</t>
    </rPh>
    <rPh sb="13" eb="15">
      <t>ラクラク</t>
    </rPh>
    <phoneticPr fontId="18"/>
  </si>
  <si>
    <t>　　　●保険料率（経営（ICT、楽酪GO））20230401～</t>
    <rPh sb="4" eb="6">
      <t>ホケン</t>
    </rPh>
    <rPh sb="6" eb="8">
      <t>リョウリツ</t>
    </rPh>
    <rPh sb="9" eb="11">
      <t>ケイエイ</t>
    </rPh>
    <rPh sb="16" eb="18">
      <t>ラクラク</t>
    </rPh>
    <phoneticPr fontId="2"/>
  </si>
  <si>
    <t>バーンスクレーパー</t>
    <phoneticPr fontId="18"/>
  </si>
  <si>
    <t>自走式給餌車等</t>
    <rPh sb="0" eb="3">
      <t>ジソウシキ</t>
    </rPh>
    <rPh sb="3" eb="5">
      <t>キュウジ</t>
    </rPh>
    <rPh sb="5" eb="6">
      <t>シャ</t>
    </rPh>
    <rPh sb="6" eb="7">
      <t>トウ</t>
    </rPh>
    <phoneticPr fontId="18"/>
  </si>
  <si>
    <t>搾乳ロボット、ミルキングパーラー、搾乳ユニット搬送レール、ミルカー離脱装置、自動乳頭洗浄機、自動給餌機、哺乳ロボット</t>
    <rPh sb="0" eb="2">
      <t>サクニュウ</t>
    </rPh>
    <rPh sb="17" eb="19">
      <t>サクニュウ</t>
    </rPh>
    <rPh sb="23" eb="25">
      <t>ハンソウ</t>
    </rPh>
    <rPh sb="33" eb="35">
      <t>リダツ</t>
    </rPh>
    <rPh sb="35" eb="37">
      <t>ソウチ</t>
    </rPh>
    <rPh sb="38" eb="40">
      <t>ジドウ</t>
    </rPh>
    <rPh sb="40" eb="42">
      <t>ニュウトウ</t>
    </rPh>
    <rPh sb="42" eb="45">
      <t>センジョウキ</t>
    </rPh>
    <rPh sb="46" eb="48">
      <t>ジドウ</t>
    </rPh>
    <rPh sb="48" eb="51">
      <t>キュウジキ</t>
    </rPh>
    <rPh sb="52" eb="54">
      <t>ホニュウ</t>
    </rPh>
    <phoneticPr fontId="18"/>
  </si>
  <si>
    <t>餌寄せロボット</t>
    <rPh sb="0" eb="2">
      <t>エサヨ</t>
    </rPh>
    <phoneticPr fontId="18"/>
  </si>
  <si>
    <t>精密電子機器類</t>
    <rPh sb="0" eb="2">
      <t>セイミツ</t>
    </rPh>
    <rPh sb="2" eb="4">
      <t>デンシ</t>
    </rPh>
    <rPh sb="4" eb="7">
      <t>キキルイ</t>
    </rPh>
    <phoneticPr fontId="18"/>
  </si>
  <si>
    <t>発情発見機、分娩監視装置、行動監視装置</t>
    <rPh sb="0" eb="2">
      <t>ハツジョウ</t>
    </rPh>
    <rPh sb="2" eb="5">
      <t>ハッケンキ</t>
    </rPh>
    <rPh sb="6" eb="8">
      <t>ブンベン</t>
    </rPh>
    <rPh sb="8" eb="10">
      <t>カンシ</t>
    </rPh>
    <rPh sb="10" eb="12">
      <t>ソウチ</t>
    </rPh>
    <rPh sb="13" eb="15">
      <t>コウドウ</t>
    </rPh>
    <rPh sb="15" eb="17">
      <t>カンシ</t>
    </rPh>
    <rPh sb="17" eb="19">
      <t>ソウチ</t>
    </rPh>
    <phoneticPr fontId="18"/>
  </si>
  <si>
    <t xml:space="preserve">  （機構に納付する消費税（補助金に係る消費税相当額を含む）は、仕入税額控除の対象となります。）</t>
    <rPh sb="3" eb="5">
      <t>キコウ</t>
    </rPh>
    <rPh sb="6" eb="8">
      <t>ノウフ</t>
    </rPh>
    <rPh sb="10" eb="13">
      <t>ショウヒゼイ</t>
    </rPh>
    <rPh sb="14" eb="17">
      <t>ホジョキン</t>
    </rPh>
    <rPh sb="18" eb="19">
      <t>カカ</t>
    </rPh>
    <rPh sb="20" eb="23">
      <t>ショウヒゼイ</t>
    </rPh>
    <rPh sb="23" eb="26">
      <t>ソウトウガク</t>
    </rPh>
    <rPh sb="27" eb="28">
      <t>フク</t>
    </rPh>
    <rPh sb="32" eb="34">
      <t>シイレ</t>
    </rPh>
    <rPh sb="34" eb="36">
      <t>ゼイガク</t>
    </rPh>
    <rPh sb="36" eb="38">
      <t>コウジョ</t>
    </rPh>
    <rPh sb="39" eb="41">
      <t>タイショウ</t>
    </rPh>
    <phoneticPr fontId="2"/>
  </si>
  <si>
    <t>　（機構に納付する消費税（補助金に係る消費税相当額を含む）は、仕入税額控除の対象となります。）</t>
    <rPh sb="2" eb="4">
      <t>キコウ</t>
    </rPh>
    <rPh sb="5" eb="7">
      <t>ノウフ</t>
    </rPh>
    <rPh sb="9" eb="12">
      <t>ショウヒゼイ</t>
    </rPh>
    <rPh sb="13" eb="16">
      <t>ホジョキン</t>
    </rPh>
    <rPh sb="17" eb="18">
      <t>カカ</t>
    </rPh>
    <rPh sb="19" eb="22">
      <t>ショウヒゼイ</t>
    </rPh>
    <rPh sb="22" eb="25">
      <t>ソウトウガク</t>
    </rPh>
    <rPh sb="26" eb="27">
      <t>フク</t>
    </rPh>
    <rPh sb="31" eb="33">
      <t>シイレ</t>
    </rPh>
    <rPh sb="33" eb="35">
      <t>ゼイガク</t>
    </rPh>
    <rPh sb="35" eb="37">
      <t>コウジョ</t>
    </rPh>
    <rPh sb="38" eb="40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</si>
</sst>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3">
    <xf numFmtId="0" fontId="0" fillId="0" borderId="0" xfId="0"/>
    <xf numFmtId="49" fontId="1" fillId="0" borderId="0" xfId="0" applyNumberFormat="1" applyFont="1" applyAlignment="1">
      <alignment horizontal="center" vertical="center"/>
    </xf>
    <xf numFmtId="38" fontId="1" fillId="0" borderId="0" xfId="1" applyFont="1" applyAlignment="1" applyProtection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Border="1" applyAlignment="1" applyProtection="1">
      <alignment horizontal="left"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Alignment="1" applyProtection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38" fontId="1" fillId="0" borderId="1" xfId="1" applyFont="1" applyBorder="1" applyAlignment="1" applyProtection="1">
      <alignment vertical="center"/>
    </xf>
    <xf numFmtId="38" fontId="1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49" fontId="0" fillId="0" borderId="1" xfId="0" applyNumberFormat="1" applyBorder="1" applyAlignment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49" fontId="7" fillId="0" borderId="0" xfId="0" applyNumberFormat="1" applyFont="1" applyAlignment="1">
      <alignment horizontal="left"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8" fillId="0" borderId="0" xfId="1" applyFont="1" applyAlignment="1" applyProtection="1">
      <alignment vertical="center"/>
    </xf>
    <xf numFmtId="0" fontId="5" fillId="0" borderId="1" xfId="0" applyFont="1" applyBorder="1" applyAlignment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</xf>
    <xf numFmtId="9" fontId="3" fillId="2" borderId="1" xfId="1" applyNumberFormat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38" fontId="7" fillId="0" borderId="0" xfId="1" applyFont="1" applyAlignment="1" applyProtection="1">
      <alignment horizontal="left" vertical="center"/>
    </xf>
    <xf numFmtId="38" fontId="11" fillId="0" borderId="0" xfId="1" applyFont="1" applyFill="1" applyBorder="1" applyAlignment="1" applyProtection="1">
      <alignment horizontal="center" vertical="top"/>
    </xf>
    <xf numFmtId="38" fontId="12" fillId="2" borderId="1" xfId="1" applyFont="1" applyFill="1" applyBorder="1" applyAlignment="1" applyProtection="1">
      <alignment horizontal="center" vertical="center"/>
      <protection locked="0"/>
    </xf>
    <xf numFmtId="38" fontId="12" fillId="0" borderId="1" xfId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38" fontId="11" fillId="0" borderId="0" xfId="1" applyFont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49" fontId="7" fillId="0" borderId="0" xfId="0" applyNumberFormat="1" applyFont="1" applyAlignment="1">
      <alignment horizontal="left"/>
    </xf>
    <xf numFmtId="38" fontId="12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10" fontId="4" fillId="0" borderId="0" xfId="1" applyNumberFormat="1" applyFont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38" fontId="12" fillId="0" borderId="0" xfId="1" applyFont="1" applyAlignment="1" applyProtection="1">
      <alignment horizontal="left" vertical="center"/>
    </xf>
    <xf numFmtId="9" fontId="4" fillId="0" borderId="0" xfId="1" applyNumberFormat="1" applyFont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0" xfId="0" applyFont="1" applyFill="1"/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0" applyFont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38" fontId="1" fillId="5" borderId="1" xfId="1" applyFont="1" applyFill="1" applyBorder="1" applyAlignment="1" applyProtection="1">
      <alignment vertical="center"/>
    </xf>
    <xf numFmtId="38" fontId="1" fillId="5" borderId="0" xfId="0" applyNumberFormat="1" applyFont="1" applyFill="1" applyAlignment="1">
      <alignment vertical="center"/>
    </xf>
    <xf numFmtId="38" fontId="0" fillId="5" borderId="0" xfId="0" applyNumberFormat="1" applyFill="1" applyAlignment="1">
      <alignment vertical="center"/>
    </xf>
    <xf numFmtId="38" fontId="1" fillId="0" borderId="1" xfId="1" applyFont="1" applyFill="1" applyBorder="1" applyAlignment="1" applyProtection="1">
      <alignment vertical="center"/>
    </xf>
    <xf numFmtId="10" fontId="12" fillId="0" borderId="1" xfId="1" applyNumberFormat="1" applyFont="1" applyFill="1" applyBorder="1" applyAlignment="1" applyProtection="1">
      <alignment horizontal="center" vertical="center"/>
    </xf>
    <xf numFmtId="9" fontId="12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6" borderId="1" xfId="0" applyFill="1" applyBorder="1" applyAlignment="1">
      <alignment horizontal="center" vertical="center"/>
    </xf>
    <xf numFmtId="38" fontId="0" fillId="6" borderId="1" xfId="0" applyNumberFormat="1" applyFill="1" applyBorder="1" applyAlignment="1">
      <alignment vertical="center"/>
    </xf>
    <xf numFmtId="38" fontId="1" fillId="6" borderId="1" xfId="1" applyFont="1" applyFill="1" applyBorder="1" applyAlignment="1" applyProtection="1">
      <alignment horizontal="center" vertical="center"/>
    </xf>
    <xf numFmtId="38" fontId="1" fillId="6" borderId="1" xfId="1" applyFont="1" applyFill="1" applyBorder="1" applyAlignment="1" applyProtection="1">
      <alignment vertical="center"/>
    </xf>
    <xf numFmtId="4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177" fontId="4" fillId="0" borderId="0" xfId="1" applyNumberFormat="1" applyFont="1" applyAlignment="1" applyProtection="1">
      <alignment horizontal="center" vertical="center"/>
    </xf>
    <xf numFmtId="38" fontId="19" fillId="0" borderId="0" xfId="1" applyFont="1" applyAlignment="1" applyProtection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 wrapText="1"/>
    </xf>
    <xf numFmtId="10" fontId="12" fillId="2" borderId="1" xfId="1" applyNumberFormat="1" applyFont="1" applyFill="1" applyBorder="1" applyAlignment="1" applyProtection="1">
      <alignment horizontal="center" vertical="center"/>
    </xf>
    <xf numFmtId="38" fontId="12" fillId="2" borderId="1" xfId="1" applyFont="1" applyFill="1" applyBorder="1" applyAlignment="1" applyProtection="1">
      <alignment horizontal="center" vertical="center"/>
    </xf>
    <xf numFmtId="10" fontId="3" fillId="0" borderId="2" xfId="1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7" borderId="8" xfId="1" applyFont="1" applyFill="1" applyBorder="1" applyAlignment="1" applyProtection="1">
      <alignment horizontal="center" vertical="center"/>
    </xf>
    <xf numFmtId="38" fontId="4" fillId="7" borderId="2" xfId="1" applyFont="1" applyFill="1" applyBorder="1" applyAlignment="1" applyProtection="1">
      <alignment horizontal="center" vertical="center"/>
    </xf>
    <xf numFmtId="38" fontId="4" fillId="7" borderId="9" xfId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textRotation="255" wrapText="1"/>
    </xf>
    <xf numFmtId="0" fontId="21" fillId="0" borderId="4" xfId="0" applyFont="1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right" vertical="center"/>
    </xf>
    <xf numFmtId="38" fontId="4" fillId="0" borderId="0" xfId="1" applyFont="1" applyAlignment="1" applyProtection="1">
      <alignment horizontal="center" vertical="center"/>
    </xf>
    <xf numFmtId="38" fontId="12" fillId="0" borderId="0" xfId="1" applyFont="1" applyAlignment="1" applyProtection="1">
      <alignment horizontal="right" vertical="center"/>
    </xf>
    <xf numFmtId="3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6" xfId="1" applyFont="1" applyBorder="1" applyAlignment="1">
      <alignment horizontal="left" vertical="top"/>
    </xf>
    <xf numFmtId="38" fontId="7" fillId="0" borderId="6" xfId="1" applyFont="1" applyBorder="1" applyAlignment="1">
      <alignment horizontal="left" vertical="top"/>
    </xf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38" fontId="12" fillId="0" borderId="0" xfId="1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612321</xdr:colOff>
      <xdr:row>4</xdr:row>
      <xdr:rowOff>54428</xdr:rowOff>
    </xdr:from>
    <xdr:to>
      <xdr:col>8</xdr:col>
      <xdr:colOff>312963</xdr:colOff>
      <xdr:row>12</xdr:row>
      <xdr:rowOff>260898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1607" y="1660071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628650</xdr:colOff>
      <xdr:row>4</xdr:row>
      <xdr:rowOff>66675</xdr:rowOff>
    </xdr:from>
    <xdr:to>
      <xdr:col>8</xdr:col>
      <xdr:colOff>317046</xdr:colOff>
      <xdr:row>12</xdr:row>
      <xdr:rowOff>304800</xdr:rowOff>
    </xdr:to>
    <xdr:sp macro="" textlink="">
      <xdr:nvSpPr>
        <xdr:cNvPr id="9222" name="AutoShape 6">
          <a:extLst>
            <a:ext uri="{FF2B5EF4-FFF2-40B4-BE49-F238E27FC236}">
              <a16:creationId xmlns:a16="http://schemas.microsoft.com/office/drawing/2014/main" id="{00000000-0008-0000-0000-000006240000}"/>
            </a:ext>
          </a:extLst>
        </xdr:cNvPr>
        <xdr:cNvSpPr>
          <a:spLocks noChangeAspect="1" noChangeArrowheads="1"/>
        </xdr:cNvSpPr>
      </xdr:nvSpPr>
      <xdr:spPr bwMode="auto">
        <a:xfrm>
          <a:off x="6867525" y="1657350"/>
          <a:ext cx="2667000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1102180</xdr:colOff>
      <xdr:row>4</xdr:row>
      <xdr:rowOff>136072</xdr:rowOff>
    </xdr:from>
    <xdr:to>
      <xdr:col>9</xdr:col>
      <xdr:colOff>68036</xdr:colOff>
      <xdr:row>12</xdr:row>
      <xdr:rowOff>342542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1466" y="1741715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38</xdr:row>
          <xdr:rowOff>38100</xdr:rowOff>
        </xdr:from>
        <xdr:to>
          <xdr:col>8</xdr:col>
          <xdr:colOff>733425</xdr:colOff>
          <xdr:row>38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38</xdr:row>
          <xdr:rowOff>28575</xdr:rowOff>
        </xdr:from>
        <xdr:to>
          <xdr:col>9</xdr:col>
          <xdr:colOff>733425</xdr:colOff>
          <xdr:row>38</xdr:row>
          <xdr:rowOff>257175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</xdr:row>
          <xdr:rowOff>19050</xdr:rowOff>
        </xdr:from>
        <xdr:to>
          <xdr:col>9</xdr:col>
          <xdr:colOff>0</xdr:colOff>
          <xdr:row>4</xdr:row>
          <xdr:rowOff>228600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5</xdr:col>
      <xdr:colOff>80760</xdr:colOff>
      <xdr:row>16</xdr:row>
      <xdr:rowOff>115985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0"/>
          <a:ext cx="3309735" cy="249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443593</xdr:colOff>
      <xdr:row>31</xdr:row>
      <xdr:rowOff>62752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4558393" cy="1929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6</xdr:col>
      <xdr:colOff>443593</xdr:colOff>
      <xdr:row>43</xdr:row>
      <xdr:rowOff>29857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4558393" cy="1801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447675</xdr:colOff>
      <xdr:row>31</xdr:row>
      <xdr:rowOff>66675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45624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85725</xdr:colOff>
      <xdr:row>20</xdr:row>
      <xdr:rowOff>142876</xdr:rowOff>
    </xdr:from>
    <xdr:to>
      <xdr:col>17</xdr:col>
      <xdr:colOff>599494</xdr:colOff>
      <xdr:row>35</xdr:row>
      <xdr:rowOff>142875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3590926"/>
          <a:ext cx="3256969" cy="285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L24"/>
  <sheetViews>
    <sheetView showGridLines="0" zoomScale="70" zoomScaleNormal="70" workbookViewId="0">
      <selection activeCell="D12" sqref="D12"/>
    </sheetView>
  </sheetViews>
  <sheetFormatPr defaultRowHeight="36" customHeight="1"/>
  <cols>
    <col min="1" max="5" width="16.375" customWidth="1"/>
    <col min="6" max="6" width="15.125" customWidth="1"/>
    <col min="8" max="8" width="14.875" customWidth="1"/>
    <col min="9" max="9" width="7.375" customWidth="1"/>
    <col min="10" max="10" width="5.125" customWidth="1"/>
    <col min="11" max="11" width="30.375" customWidth="1"/>
    <col min="12" max="12" width="18.625" customWidth="1"/>
  </cols>
  <sheetData>
    <row r="1" spans="1:12" ht="36" customHeight="1" thickBot="1">
      <c r="A1" s="42" t="s">
        <v>127</v>
      </c>
      <c r="F1" s="110" t="s">
        <v>142</v>
      </c>
      <c r="G1" s="111"/>
      <c r="H1" s="111"/>
      <c r="I1" s="111"/>
      <c r="J1" s="112"/>
    </row>
    <row r="2" spans="1:12" ht="15.75" customHeight="1">
      <c r="A2" s="53"/>
    </row>
    <row r="3" spans="1:12" ht="37.5" customHeight="1">
      <c r="A3" s="40" t="s">
        <v>74</v>
      </c>
      <c r="C3" s="114" t="s">
        <v>130</v>
      </c>
      <c r="D3" s="114"/>
      <c r="E3" s="52"/>
      <c r="F3" s="85" t="s">
        <v>140</v>
      </c>
    </row>
    <row r="4" spans="1:12" ht="36" customHeight="1">
      <c r="A4" s="40" t="s">
        <v>75</v>
      </c>
      <c r="F4" s="84" t="s">
        <v>72</v>
      </c>
    </row>
    <row r="5" spans="1:12" s="18" customFormat="1" ht="25.5" customHeight="1">
      <c r="A5" s="19" t="s">
        <v>76</v>
      </c>
      <c r="B5" s="29"/>
      <c r="C5" s="29"/>
      <c r="D5" s="29"/>
      <c r="E5" s="29"/>
      <c r="F5" s="29"/>
    </row>
    <row r="6" spans="1:12" s="20" customFormat="1" ht="25.5" customHeight="1">
      <c r="A6" s="16" t="s">
        <v>141</v>
      </c>
      <c r="B6" s="2"/>
      <c r="C6" s="2"/>
      <c r="D6" s="2"/>
      <c r="E6" s="2"/>
      <c r="F6" s="2"/>
    </row>
    <row r="7" spans="1:12" s="20" customFormat="1" ht="41.25" customHeight="1">
      <c r="A7" s="49" t="s">
        <v>58</v>
      </c>
      <c r="B7" s="103">
        <v>7</v>
      </c>
      <c r="C7" s="51" t="s">
        <v>67</v>
      </c>
      <c r="D7" s="46">
        <f>B7</f>
        <v>7</v>
      </c>
      <c r="F7" s="23"/>
    </row>
    <row r="8" spans="1:12" s="20" customFormat="1" ht="41.25" customHeight="1">
      <c r="A8" s="49"/>
      <c r="B8" s="37"/>
      <c r="C8" s="51" t="s">
        <v>68</v>
      </c>
      <c r="D8" s="46">
        <f>B7*4</f>
        <v>28</v>
      </c>
      <c r="E8" s="22" t="s">
        <v>71</v>
      </c>
      <c r="F8" s="23"/>
    </row>
    <row r="9" spans="1:12" s="20" customFormat="1" ht="12" customHeight="1">
      <c r="A9" s="49"/>
      <c r="B9" s="37"/>
      <c r="C9" s="51"/>
      <c r="D9" s="106"/>
      <c r="E9" s="22"/>
      <c r="F9" s="23"/>
    </row>
    <row r="10" spans="1:12" s="20" customFormat="1" ht="41.25" customHeight="1">
      <c r="A10" s="50" t="s">
        <v>100</v>
      </c>
      <c r="B10" s="82">
        <v>7.0000000000000001E-3</v>
      </c>
      <c r="C10" s="50" t="s">
        <v>56</v>
      </c>
      <c r="D10" s="82">
        <v>4.0000000000000001E-3</v>
      </c>
    </row>
    <row r="11" spans="1:12" s="20" customFormat="1" ht="9.75" customHeight="1">
      <c r="A11" s="50"/>
      <c r="B11" s="104"/>
      <c r="C11" s="50"/>
      <c r="D11" s="104"/>
    </row>
    <row r="12" spans="1:12" s="20" customFormat="1" ht="41.25" customHeight="1">
      <c r="A12" s="50" t="s">
        <v>48</v>
      </c>
      <c r="B12" s="103">
        <v>3000000</v>
      </c>
      <c r="C12" s="50" t="s">
        <v>51</v>
      </c>
      <c r="D12" s="46">
        <f>B12-B13</f>
        <v>1500000</v>
      </c>
      <c r="E12" s="107"/>
    </row>
    <row r="13" spans="1:12" s="20" customFormat="1" ht="41.25" customHeight="1">
      <c r="A13" s="50" t="s">
        <v>53</v>
      </c>
      <c r="B13" s="103">
        <f>B12/2</f>
        <v>1500000</v>
      </c>
      <c r="C13" s="93" t="s">
        <v>129</v>
      </c>
      <c r="D13" s="108">
        <f>SUM(B13*0.1)</f>
        <v>150000</v>
      </c>
      <c r="E13" s="24"/>
      <c r="F13" s="44"/>
    </row>
    <row r="14" spans="1:12" s="20" customFormat="1" ht="41.25" customHeight="1">
      <c r="A14" s="50" t="s">
        <v>66</v>
      </c>
      <c r="B14" s="83">
        <v>0.1</v>
      </c>
      <c r="C14" s="38"/>
      <c r="D14" s="37"/>
      <c r="E14" s="24"/>
      <c r="F14" s="86" t="s">
        <v>143</v>
      </c>
    </row>
    <row r="15" spans="1:12" s="20" customFormat="1" ht="12.75" customHeight="1">
      <c r="A15" s="24"/>
      <c r="B15" s="37"/>
      <c r="C15" s="38"/>
      <c r="D15" s="37"/>
      <c r="E15" s="24"/>
      <c r="F15" s="37"/>
    </row>
    <row r="16" spans="1:12" s="20" customFormat="1" ht="33.75" customHeight="1">
      <c r="A16" s="41" t="s">
        <v>79</v>
      </c>
      <c r="B16" s="37"/>
      <c r="C16" s="38"/>
      <c r="D16" s="37"/>
      <c r="E16" s="24"/>
      <c r="G16" s="115" t="s">
        <v>138</v>
      </c>
      <c r="H16" s="116"/>
      <c r="I16" s="116"/>
      <c r="J16" s="116"/>
      <c r="K16" s="117"/>
      <c r="L16" s="96" t="s">
        <v>70</v>
      </c>
    </row>
    <row r="17" spans="1:12" s="20" customFormat="1" ht="60.75" customHeight="1">
      <c r="A17" s="43" t="s">
        <v>131</v>
      </c>
      <c r="B17" s="37"/>
      <c r="C17" s="38"/>
      <c r="D17" s="37"/>
      <c r="E17" s="24"/>
      <c r="G17" s="118" t="s">
        <v>135</v>
      </c>
      <c r="H17" s="120"/>
      <c r="I17" s="125" t="s">
        <v>145</v>
      </c>
      <c r="J17" s="126"/>
      <c r="K17" s="127"/>
      <c r="L17" s="99">
        <v>2.42</v>
      </c>
    </row>
    <row r="18" spans="1:12" s="20" customFormat="1" ht="60.75" customHeight="1">
      <c r="A18" s="50" t="s">
        <v>69</v>
      </c>
      <c r="B18" s="103">
        <v>430</v>
      </c>
      <c r="C18" s="38"/>
      <c r="D18" s="37"/>
      <c r="E18" s="24"/>
      <c r="G18" s="121" t="s">
        <v>137</v>
      </c>
      <c r="H18" s="118" t="s">
        <v>144</v>
      </c>
      <c r="I18" s="119"/>
      <c r="J18" s="119"/>
      <c r="K18" s="120"/>
      <c r="L18" s="101">
        <v>1.34</v>
      </c>
    </row>
    <row r="19" spans="1:12" s="20" customFormat="1" ht="61.5" customHeight="1">
      <c r="A19" s="50" t="s">
        <v>70</v>
      </c>
      <c r="B19" s="109">
        <v>1.7</v>
      </c>
      <c r="C19" s="38"/>
      <c r="D19" s="37"/>
      <c r="E19" s="24"/>
      <c r="G19" s="122"/>
      <c r="H19" s="27" t="s">
        <v>136</v>
      </c>
      <c r="I19" s="126" t="s">
        <v>146</v>
      </c>
      <c r="J19" s="126"/>
      <c r="K19" s="127"/>
      <c r="L19" s="100">
        <v>1.74</v>
      </c>
    </row>
    <row r="20" spans="1:12" ht="61.5" customHeight="1">
      <c r="G20" s="123" t="s">
        <v>136</v>
      </c>
      <c r="H20" s="124"/>
      <c r="I20" s="119" t="s">
        <v>147</v>
      </c>
      <c r="J20" s="119"/>
      <c r="K20" s="120"/>
      <c r="L20" s="100">
        <v>1.89</v>
      </c>
    </row>
    <row r="21" spans="1:12" ht="61.5" customHeight="1">
      <c r="G21" s="123" t="s">
        <v>148</v>
      </c>
      <c r="H21" s="124"/>
      <c r="I21" s="119" t="s">
        <v>149</v>
      </c>
      <c r="J21" s="119"/>
      <c r="K21" s="120"/>
      <c r="L21" s="100">
        <v>1.04</v>
      </c>
    </row>
    <row r="22" spans="1:12" ht="36" customHeight="1">
      <c r="G22" s="113"/>
      <c r="H22" s="113"/>
      <c r="I22" s="113"/>
      <c r="J22" s="113"/>
      <c r="K22" s="113"/>
      <c r="L22" s="98"/>
    </row>
    <row r="23" spans="1:12" ht="36" customHeight="1">
      <c r="G23" s="113"/>
      <c r="H23" s="113"/>
      <c r="I23" s="113"/>
      <c r="J23" s="113"/>
      <c r="K23" s="26"/>
      <c r="L23" s="98"/>
    </row>
    <row r="24" spans="1:12" ht="36" customHeight="1">
      <c r="G24" s="113"/>
      <c r="H24" s="113"/>
      <c r="I24" s="113"/>
      <c r="J24" s="113"/>
      <c r="K24" s="26"/>
      <c r="L24" s="98"/>
    </row>
  </sheetData>
  <sheetProtection algorithmName="SHA-512" hashValue="l6+aQv1aTz154ehOS2mx15GqjHL7u+WQO0cU3CjpdOYjlvsMok1QnYjWyXEZzZtMsK+MXUetovjhuJHfvBg0Ng==" saltValue="eCtqO6Z3hF2xkXAXzx+jxw==" spinCount="100000" sheet="1" objects="1" scenarios="1"/>
  <mergeCells count="14">
    <mergeCell ref="F1:J1"/>
    <mergeCell ref="G22:K22"/>
    <mergeCell ref="G23:J24"/>
    <mergeCell ref="C3:D3"/>
    <mergeCell ref="G16:K16"/>
    <mergeCell ref="H18:K18"/>
    <mergeCell ref="G18:G19"/>
    <mergeCell ref="G17:H17"/>
    <mergeCell ref="G20:H20"/>
    <mergeCell ref="G21:H21"/>
    <mergeCell ref="I17:K17"/>
    <mergeCell ref="I19:K19"/>
    <mergeCell ref="I20:K20"/>
    <mergeCell ref="I21:K21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26"/>
  <sheetViews>
    <sheetView showGridLines="0" tabSelected="1" zoomScale="70" zoomScaleNormal="70" workbookViewId="0">
      <selection activeCell="O10" sqref="O10"/>
    </sheetView>
  </sheetViews>
  <sheetFormatPr defaultRowHeight="36" customHeight="1"/>
  <cols>
    <col min="1" max="5" width="16.375" customWidth="1"/>
    <col min="6" max="6" width="15.125" customWidth="1"/>
    <col min="8" max="8" width="15.5" customWidth="1"/>
    <col min="11" max="11" width="22.25" customWidth="1"/>
    <col min="12" max="12" width="13.5" customWidth="1"/>
  </cols>
  <sheetData>
    <row r="1" spans="1:12" ht="36" customHeight="1" thickBot="1">
      <c r="A1" s="42" t="s">
        <v>127</v>
      </c>
      <c r="F1" s="110" t="s">
        <v>142</v>
      </c>
      <c r="G1" s="111"/>
      <c r="H1" s="111"/>
      <c r="I1" s="111"/>
      <c r="J1" s="112"/>
    </row>
    <row r="2" spans="1:12" ht="15.75" customHeight="1">
      <c r="A2" s="53"/>
    </row>
    <row r="3" spans="1:12" ht="37.5" customHeight="1">
      <c r="A3" s="40" t="s">
        <v>74</v>
      </c>
      <c r="C3" s="128"/>
      <c r="D3" s="128"/>
      <c r="E3" s="52"/>
      <c r="F3" s="85" t="s">
        <v>140</v>
      </c>
    </row>
    <row r="4" spans="1:12" ht="36" customHeight="1">
      <c r="A4" s="40" t="s">
        <v>75</v>
      </c>
      <c r="F4" s="84" t="s">
        <v>72</v>
      </c>
    </row>
    <row r="5" spans="1:12" s="18" customFormat="1" ht="25.5" customHeight="1">
      <c r="A5" s="19" t="s">
        <v>76</v>
      </c>
      <c r="B5" s="17"/>
      <c r="C5" s="17"/>
      <c r="D5" s="17"/>
      <c r="E5" s="17"/>
      <c r="F5" s="17"/>
      <c r="G5" s="17"/>
    </row>
    <row r="6" spans="1:12" s="20" customFormat="1" ht="25.5" customHeight="1">
      <c r="A6" s="16" t="s">
        <v>141</v>
      </c>
      <c r="B6" s="2"/>
      <c r="C6" s="2"/>
      <c r="D6" s="2"/>
      <c r="E6" s="2"/>
      <c r="F6" s="2"/>
      <c r="G6" s="2"/>
      <c r="H6" s="2"/>
    </row>
    <row r="7" spans="1:12" s="20" customFormat="1" ht="41.25" customHeight="1">
      <c r="A7" s="49" t="s">
        <v>58</v>
      </c>
      <c r="B7" s="45"/>
      <c r="C7" s="51" t="s">
        <v>67</v>
      </c>
      <c r="D7" s="46">
        <f>B7</f>
        <v>0</v>
      </c>
      <c r="F7" s="23"/>
      <c r="G7" s="2"/>
      <c r="H7" s="2"/>
    </row>
    <row r="8" spans="1:12" s="20" customFormat="1" ht="41.25" customHeight="1">
      <c r="A8" s="49"/>
      <c r="B8" s="36"/>
      <c r="C8" s="51" t="s">
        <v>68</v>
      </c>
      <c r="D8" s="46">
        <f>B7*4</f>
        <v>0</v>
      </c>
      <c r="E8" s="22" t="s">
        <v>71</v>
      </c>
      <c r="F8" s="23"/>
      <c r="G8" s="2"/>
      <c r="H8" s="2"/>
    </row>
    <row r="9" spans="1:12" s="20" customFormat="1" ht="12" customHeight="1">
      <c r="A9" s="49"/>
      <c r="B9" s="36"/>
      <c r="C9" s="51"/>
      <c r="D9" s="106"/>
      <c r="E9" s="22"/>
      <c r="F9" s="23"/>
      <c r="G9" s="2"/>
      <c r="H9" s="2"/>
    </row>
    <row r="10" spans="1:12" s="20" customFormat="1" ht="41.25" customHeight="1">
      <c r="A10" s="50" t="s">
        <v>100</v>
      </c>
      <c r="B10" s="102">
        <v>7.0000000000000001E-3</v>
      </c>
      <c r="C10" s="50" t="s">
        <v>56</v>
      </c>
      <c r="D10" s="82">
        <v>4.0000000000000001E-3</v>
      </c>
      <c r="G10" s="2"/>
      <c r="H10" s="2"/>
    </row>
    <row r="11" spans="1:12" s="20" customFormat="1" ht="9.75" customHeight="1">
      <c r="A11" s="50"/>
      <c r="B11" s="39"/>
      <c r="C11" s="50"/>
      <c r="D11" s="104"/>
      <c r="G11" s="2"/>
      <c r="H11" s="2"/>
    </row>
    <row r="12" spans="1:12" s="20" customFormat="1" ht="41.25" customHeight="1">
      <c r="A12" s="50" t="s">
        <v>48</v>
      </c>
      <c r="B12" s="45"/>
      <c r="C12" s="50" t="s">
        <v>51</v>
      </c>
      <c r="D12" s="46">
        <f>B12-B13</f>
        <v>0</v>
      </c>
      <c r="E12" s="62"/>
      <c r="G12" s="2"/>
      <c r="H12" s="2"/>
    </row>
    <row r="13" spans="1:12" s="20" customFormat="1" ht="41.25" customHeight="1">
      <c r="A13" s="50" t="s">
        <v>53</v>
      </c>
      <c r="B13" s="45"/>
      <c r="C13" s="93" t="s">
        <v>129</v>
      </c>
      <c r="D13" s="108">
        <f>SUM(B13*0.1)</f>
        <v>0</v>
      </c>
      <c r="E13" s="24"/>
      <c r="F13" s="44"/>
      <c r="G13" s="2"/>
      <c r="H13" s="2"/>
    </row>
    <row r="14" spans="1:12" s="20" customFormat="1" ht="41.25" customHeight="1">
      <c r="A14" s="50" t="s">
        <v>66</v>
      </c>
      <c r="B14" s="83">
        <v>0.1</v>
      </c>
      <c r="C14" s="38"/>
      <c r="D14" s="36"/>
      <c r="E14" s="24"/>
      <c r="F14" s="86" t="s">
        <v>139</v>
      </c>
      <c r="G14" s="2"/>
      <c r="H14" s="2"/>
    </row>
    <row r="15" spans="1:12" s="20" customFormat="1" ht="36" customHeight="1">
      <c r="A15" s="24"/>
      <c r="B15" s="36"/>
      <c r="C15" s="38"/>
      <c r="D15" s="36"/>
      <c r="E15" s="24"/>
      <c r="F15" s="37"/>
      <c r="G15" s="115" t="s">
        <v>138</v>
      </c>
      <c r="H15" s="116"/>
      <c r="I15" s="116"/>
      <c r="J15" s="116"/>
      <c r="K15" s="117"/>
      <c r="L15" s="96" t="s">
        <v>70</v>
      </c>
    </row>
    <row r="16" spans="1:12" s="20" customFormat="1" ht="54" customHeight="1">
      <c r="A16" s="41" t="s">
        <v>79</v>
      </c>
      <c r="B16" s="36"/>
      <c r="C16" s="38"/>
      <c r="D16" s="36"/>
      <c r="E16" s="24"/>
      <c r="G16" s="118" t="s">
        <v>135</v>
      </c>
      <c r="H16" s="120"/>
      <c r="I16" s="125" t="s">
        <v>145</v>
      </c>
      <c r="J16" s="126"/>
      <c r="K16" s="127"/>
      <c r="L16" s="99">
        <v>2.42</v>
      </c>
    </row>
    <row r="17" spans="1:12" s="20" customFormat="1" ht="54" customHeight="1">
      <c r="A17" s="43" t="s">
        <v>131</v>
      </c>
      <c r="B17" s="36"/>
      <c r="C17" s="38"/>
      <c r="D17" s="36"/>
      <c r="E17" s="24"/>
      <c r="G17" s="129" t="s">
        <v>137</v>
      </c>
      <c r="H17" s="118" t="s">
        <v>144</v>
      </c>
      <c r="I17" s="119"/>
      <c r="J17" s="119"/>
      <c r="K17" s="120"/>
      <c r="L17" s="101">
        <v>1.34</v>
      </c>
    </row>
    <row r="18" spans="1:12" s="20" customFormat="1" ht="54" customHeight="1">
      <c r="A18" s="50" t="s">
        <v>69</v>
      </c>
      <c r="B18" s="45"/>
      <c r="C18" s="38"/>
      <c r="D18" s="36"/>
      <c r="E18" s="24"/>
      <c r="G18" s="130"/>
      <c r="H18" s="27" t="s">
        <v>136</v>
      </c>
      <c r="I18" s="126" t="s">
        <v>146</v>
      </c>
      <c r="J18" s="126"/>
      <c r="K18" s="127"/>
      <c r="L18" s="100">
        <v>1.74</v>
      </c>
    </row>
    <row r="19" spans="1:12" s="20" customFormat="1" ht="54" customHeight="1">
      <c r="A19" s="50" t="s">
        <v>70</v>
      </c>
      <c r="B19" s="47"/>
      <c r="C19" s="38"/>
      <c r="D19" s="36"/>
      <c r="E19" s="24"/>
      <c r="G19" s="123" t="s">
        <v>136</v>
      </c>
      <c r="H19" s="124"/>
      <c r="I19" s="119" t="s">
        <v>147</v>
      </c>
      <c r="J19" s="119"/>
      <c r="K19" s="120"/>
      <c r="L19" s="100">
        <v>1.89</v>
      </c>
    </row>
    <row r="20" spans="1:12" s="20" customFormat="1" ht="54" customHeight="1">
      <c r="C20" s="38"/>
      <c r="D20" s="36"/>
      <c r="E20" s="24"/>
      <c r="G20" s="123" t="s">
        <v>148</v>
      </c>
      <c r="H20" s="124"/>
      <c r="I20" s="119" t="s">
        <v>149</v>
      </c>
      <c r="J20" s="119"/>
      <c r="K20" s="120"/>
      <c r="L20" s="100">
        <v>1.04</v>
      </c>
    </row>
    <row r="21" spans="1:12" ht="36" customHeight="1">
      <c r="G21" s="131"/>
      <c r="H21" s="131"/>
      <c r="I21" s="131"/>
      <c r="J21" s="131"/>
      <c r="K21" s="131"/>
      <c r="L21" s="97"/>
    </row>
    <row r="22" spans="1:12" ht="36" customHeight="1">
      <c r="G22" s="113"/>
      <c r="H22" s="113"/>
      <c r="I22" s="113"/>
      <c r="J22" s="113"/>
      <c r="K22" s="113"/>
      <c r="L22" s="98"/>
    </row>
    <row r="23" spans="1:12" ht="36" customHeight="1">
      <c r="G23" s="113"/>
      <c r="H23" s="113"/>
      <c r="I23" s="113"/>
      <c r="J23" s="113"/>
      <c r="K23" s="113"/>
      <c r="L23" s="98"/>
    </row>
    <row r="24" spans="1:12" ht="36" customHeight="1">
      <c r="G24" s="113"/>
      <c r="H24" s="113"/>
      <c r="I24" s="113"/>
      <c r="J24" s="113"/>
      <c r="K24" s="113"/>
      <c r="L24" s="98"/>
    </row>
    <row r="25" spans="1:12" ht="36" customHeight="1">
      <c r="G25" s="113"/>
      <c r="H25" s="113"/>
      <c r="I25" s="113"/>
      <c r="J25" s="113"/>
      <c r="K25" s="26"/>
      <c r="L25" s="98"/>
    </row>
    <row r="26" spans="1:12" ht="36" customHeight="1">
      <c r="G26" s="113"/>
      <c r="H26" s="113"/>
      <c r="I26" s="113"/>
      <c r="J26" s="113"/>
      <c r="K26" s="26"/>
      <c r="L26" s="98"/>
    </row>
  </sheetData>
  <sheetProtection algorithmName="SHA-512" hashValue="KPA6b0uMHIsrFy7GqzlyXrfgvTICcoJyhtD26vpzoOLcMb5aLDEhgJWG2ewkgJIsHdtk1DwUxQPaNHnejQjTOQ==" saltValue="nRoQ5RYj/P95XhVffvY4jQ==" spinCount="100000" sheet="1" objects="1" scenarios="1"/>
  <protectedRanges>
    <protectedRange sqref="C3 B7 B10 B12 B18:B19" name="範囲2"/>
    <protectedRange sqref="B10" name="範囲1"/>
  </protectedRanges>
  <mergeCells count="17">
    <mergeCell ref="G24:K24"/>
    <mergeCell ref="F1:J1"/>
    <mergeCell ref="G20:H20"/>
    <mergeCell ref="I20:K20"/>
    <mergeCell ref="G25:J26"/>
    <mergeCell ref="G19:H19"/>
    <mergeCell ref="I19:K19"/>
    <mergeCell ref="G21:K21"/>
    <mergeCell ref="G22:K22"/>
    <mergeCell ref="G23:K23"/>
    <mergeCell ref="C3:D3"/>
    <mergeCell ref="G15:K15"/>
    <mergeCell ref="G16:H16"/>
    <mergeCell ref="I16:K16"/>
    <mergeCell ref="G17:G18"/>
    <mergeCell ref="H17:K17"/>
    <mergeCell ref="I18:K18"/>
  </mergeCells>
  <phoneticPr fontId="18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rgb="FF00B050"/>
  </sheetPr>
  <dimension ref="A1:L99"/>
  <sheetViews>
    <sheetView showGridLines="0" workbookViewId="0">
      <selection activeCell="H97" sqref="H97"/>
    </sheetView>
  </sheetViews>
  <sheetFormatPr defaultRowHeight="21.95" customHeight="1"/>
  <cols>
    <col min="1" max="1" width="13.75" style="1" customWidth="1"/>
    <col min="2" max="2" width="13.75" style="2" customWidth="1"/>
    <col min="3" max="3" width="15.875" style="2" bestFit="1" customWidth="1"/>
    <col min="4" max="5" width="13.75" style="2" customWidth="1"/>
    <col min="6" max="6" width="15.375" style="2" bestFit="1" customWidth="1"/>
    <col min="7" max="7" width="13.75" style="2" customWidth="1"/>
    <col min="8" max="8" width="5.625" style="3" customWidth="1"/>
    <col min="9" max="10" width="11.625" style="3" hidden="1" customWidth="1"/>
    <col min="11" max="16384" width="9" style="3"/>
  </cols>
  <sheetData>
    <row r="1" spans="1:7" ht="33" customHeight="1">
      <c r="A1" s="134" t="str">
        <f>"経営（畜産ICT・楽酪GO）リース貸付料等試算表・年１回払（貸付期間 "&amp;B39&amp;" 年） "</f>
        <v xml:space="preserve">経営（畜産ICT・楽酪GO）リース貸付料等試算表・年１回払（貸付期間 0 年） </v>
      </c>
      <c r="B1" s="134"/>
      <c r="C1" s="134"/>
      <c r="D1" s="134"/>
      <c r="E1" s="134"/>
      <c r="F1" s="134"/>
      <c r="G1" s="134"/>
    </row>
    <row r="2" spans="1:7" ht="33" hidden="1" customHeight="1">
      <c r="A2" s="55"/>
      <c r="B2" s="55"/>
      <c r="C2" s="55"/>
      <c r="D2" s="55"/>
      <c r="E2" s="55"/>
      <c r="F2" s="55"/>
      <c r="G2" s="55"/>
    </row>
    <row r="3" spans="1:7" ht="33" hidden="1" customHeight="1">
      <c r="A3" s="55"/>
      <c r="B3" s="55"/>
      <c r="C3" s="55"/>
      <c r="D3" s="55"/>
      <c r="E3" s="55"/>
      <c r="F3" s="55"/>
      <c r="G3" s="55"/>
    </row>
    <row r="4" spans="1:7" ht="33" hidden="1" customHeight="1">
      <c r="A4" s="55"/>
      <c r="B4" s="55"/>
      <c r="C4" s="55"/>
      <c r="D4" s="55"/>
      <c r="E4" s="55"/>
      <c r="F4" s="55"/>
      <c r="G4" s="55"/>
    </row>
    <row r="5" spans="1:7" ht="33" hidden="1" customHeight="1">
      <c r="A5" s="55"/>
      <c r="B5" s="55"/>
      <c r="C5" s="55"/>
      <c r="D5" s="55"/>
      <c r="E5" s="55"/>
      <c r="F5" s="55"/>
      <c r="G5" s="55"/>
    </row>
    <row r="6" spans="1:7" ht="33" hidden="1" customHeight="1">
      <c r="A6" s="55"/>
      <c r="B6" s="55"/>
      <c r="C6" s="55"/>
      <c r="D6" s="55"/>
      <c r="E6" s="55"/>
      <c r="F6" s="55"/>
      <c r="G6" s="55"/>
    </row>
    <row r="7" spans="1:7" ht="33" hidden="1" customHeight="1">
      <c r="A7" s="55"/>
      <c r="B7" s="55"/>
      <c r="C7" s="55"/>
      <c r="D7" s="55"/>
      <c r="E7" s="55"/>
      <c r="F7" s="55"/>
      <c r="G7" s="55"/>
    </row>
    <row r="8" spans="1:7" ht="33" hidden="1" customHeight="1">
      <c r="A8" s="55"/>
      <c r="B8" s="55"/>
      <c r="C8" s="55"/>
      <c r="D8" s="55"/>
      <c r="E8" s="55"/>
      <c r="F8" s="55"/>
      <c r="G8" s="55"/>
    </row>
    <row r="9" spans="1:7" ht="33" hidden="1" customHeight="1">
      <c r="A9" s="55"/>
      <c r="B9" s="55"/>
      <c r="C9" s="55"/>
      <c r="D9" s="55"/>
      <c r="E9" s="55"/>
      <c r="F9" s="55"/>
      <c r="G9" s="55"/>
    </row>
    <row r="10" spans="1:7" ht="33" hidden="1" customHeight="1">
      <c r="A10" s="55"/>
      <c r="B10" s="55"/>
      <c r="C10" s="55"/>
      <c r="D10" s="55"/>
      <c r="E10" s="55"/>
      <c r="F10" s="55"/>
      <c r="G10" s="55"/>
    </row>
    <row r="11" spans="1:7" ht="33" hidden="1" customHeight="1">
      <c r="A11" s="55"/>
      <c r="B11" s="55"/>
      <c r="C11" s="55"/>
      <c r="D11" s="55"/>
      <c r="E11" s="55"/>
      <c r="F11" s="55"/>
      <c r="G11" s="55"/>
    </row>
    <row r="12" spans="1:7" ht="33" hidden="1" customHeight="1">
      <c r="A12" s="55"/>
      <c r="B12" s="55"/>
      <c r="C12" s="55"/>
      <c r="D12" s="55"/>
      <c r="E12" s="55"/>
      <c r="F12" s="55"/>
      <c r="G12" s="55"/>
    </row>
    <row r="13" spans="1:7" ht="33" hidden="1" customHeight="1">
      <c r="A13" s="55"/>
      <c r="B13" s="55"/>
      <c r="C13" s="55"/>
      <c r="D13" s="55"/>
      <c r="E13" s="55"/>
      <c r="F13" s="55"/>
      <c r="G13" s="55"/>
    </row>
    <row r="14" spans="1:7" ht="33" hidden="1" customHeight="1">
      <c r="A14" s="55"/>
      <c r="B14" s="55"/>
      <c r="C14" s="55"/>
      <c r="D14" s="55"/>
      <c r="E14" s="55"/>
      <c r="F14" s="55"/>
      <c r="G14" s="55"/>
    </row>
    <row r="15" spans="1:7" ht="33" hidden="1" customHeight="1">
      <c r="A15" s="55"/>
      <c r="B15" s="55"/>
      <c r="C15" s="55"/>
      <c r="D15" s="55"/>
      <c r="E15" s="55"/>
      <c r="F15" s="55"/>
      <c r="G15" s="55"/>
    </row>
    <row r="16" spans="1:7" ht="33" hidden="1" customHeight="1">
      <c r="A16" s="55"/>
      <c r="B16" s="55"/>
      <c r="C16" s="55"/>
      <c r="D16" s="55"/>
      <c r="E16" s="55"/>
      <c r="F16" s="55"/>
      <c r="G16" s="55"/>
    </row>
    <row r="17" spans="1:7" ht="33" hidden="1" customHeight="1">
      <c r="A17" s="55"/>
      <c r="B17" s="55"/>
      <c r="C17" s="55"/>
      <c r="D17" s="55"/>
      <c r="E17" s="55"/>
      <c r="F17" s="55"/>
      <c r="G17" s="55"/>
    </row>
    <row r="18" spans="1:7" ht="33" hidden="1" customHeight="1">
      <c r="A18" s="55"/>
      <c r="B18" s="55"/>
      <c r="C18" s="55"/>
      <c r="D18" s="55"/>
      <c r="E18" s="55"/>
      <c r="F18" s="55"/>
      <c r="G18" s="55"/>
    </row>
    <row r="19" spans="1:7" ht="33" hidden="1" customHeight="1">
      <c r="A19" s="55"/>
      <c r="B19" s="55"/>
      <c r="C19" s="55"/>
      <c r="D19" s="55"/>
      <c r="E19" s="55"/>
      <c r="F19" s="55"/>
      <c r="G19" s="55"/>
    </row>
    <row r="20" spans="1:7" ht="33" hidden="1" customHeight="1">
      <c r="A20" s="55"/>
      <c r="B20" s="55"/>
      <c r="C20" s="55"/>
      <c r="D20" s="55"/>
      <c r="E20" s="55"/>
      <c r="F20" s="55"/>
      <c r="G20" s="55"/>
    </row>
    <row r="21" spans="1:7" ht="33" hidden="1" customHeight="1">
      <c r="A21" s="55"/>
      <c r="B21" s="55"/>
      <c r="C21" s="55"/>
      <c r="D21" s="55"/>
      <c r="E21" s="55"/>
      <c r="F21" s="55"/>
      <c r="G21" s="55"/>
    </row>
    <row r="22" spans="1:7" ht="33" hidden="1" customHeight="1">
      <c r="A22" s="55"/>
      <c r="B22" s="55"/>
      <c r="C22" s="55"/>
      <c r="D22" s="55"/>
      <c r="E22" s="55"/>
      <c r="F22" s="55"/>
      <c r="G22" s="55"/>
    </row>
    <row r="23" spans="1:7" ht="33" hidden="1" customHeight="1">
      <c r="A23" s="55"/>
      <c r="B23" s="55"/>
      <c r="C23" s="55"/>
      <c r="D23" s="55"/>
      <c r="E23" s="55"/>
      <c r="F23" s="55"/>
      <c r="G23" s="55"/>
    </row>
    <row r="24" spans="1:7" ht="33" hidden="1" customHeight="1">
      <c r="A24" s="55"/>
      <c r="B24" s="55"/>
      <c r="C24" s="55"/>
      <c r="D24" s="55"/>
      <c r="E24" s="55"/>
      <c r="F24" s="55"/>
      <c r="G24" s="55"/>
    </row>
    <row r="25" spans="1:7" ht="33" hidden="1" customHeight="1">
      <c r="A25" s="55"/>
      <c r="B25" s="55"/>
      <c r="C25" s="55"/>
      <c r="D25" s="55"/>
      <c r="E25" s="55"/>
      <c r="F25" s="55"/>
      <c r="G25" s="55"/>
    </row>
    <row r="26" spans="1:7" ht="33" hidden="1" customHeight="1">
      <c r="A26" s="55"/>
      <c r="B26" s="55"/>
      <c r="C26" s="55"/>
      <c r="D26" s="55"/>
      <c r="E26" s="55"/>
      <c r="F26" s="55"/>
      <c r="G26" s="55"/>
    </row>
    <row r="27" spans="1:7" ht="33" hidden="1" customHeight="1">
      <c r="A27" s="55"/>
      <c r="B27" s="55"/>
      <c r="C27" s="55"/>
      <c r="D27" s="55"/>
      <c r="E27" s="55"/>
      <c r="F27" s="55"/>
      <c r="G27" s="55"/>
    </row>
    <row r="28" spans="1:7" ht="33" hidden="1" customHeight="1">
      <c r="A28" s="55"/>
      <c r="B28" s="55"/>
      <c r="C28" s="55"/>
      <c r="D28" s="55"/>
      <c r="E28" s="55"/>
      <c r="F28" s="55"/>
      <c r="G28" s="55"/>
    </row>
    <row r="29" spans="1:7" ht="33" hidden="1" customHeight="1">
      <c r="A29" s="55"/>
      <c r="B29" s="55"/>
      <c r="C29" s="55"/>
      <c r="D29" s="55"/>
      <c r="E29" s="55"/>
      <c r="F29" s="55"/>
      <c r="G29" s="55"/>
    </row>
    <row r="30" spans="1:7" ht="33" hidden="1" customHeight="1">
      <c r="A30" s="55"/>
      <c r="B30" s="55"/>
      <c r="C30" s="55"/>
      <c r="D30" s="55"/>
      <c r="E30" s="55"/>
      <c r="F30" s="55"/>
      <c r="G30" s="55"/>
    </row>
    <row r="31" spans="1:7" ht="33" hidden="1" customHeight="1">
      <c r="A31" s="55"/>
      <c r="B31" s="55"/>
      <c r="C31" s="55"/>
      <c r="D31" s="55"/>
      <c r="E31" s="55"/>
      <c r="F31" s="55"/>
      <c r="G31" s="55"/>
    </row>
    <row r="32" spans="1:7" ht="33" hidden="1" customHeight="1">
      <c r="A32" s="55"/>
      <c r="B32" s="55"/>
      <c r="C32" s="55"/>
      <c r="D32" s="55"/>
      <c r="E32" s="55"/>
      <c r="F32" s="55"/>
      <c r="G32" s="55"/>
    </row>
    <row r="33" spans="1:12" ht="33" hidden="1" customHeight="1">
      <c r="A33" s="55"/>
      <c r="B33" s="55"/>
      <c r="C33" s="55"/>
      <c r="D33" s="55"/>
      <c r="E33" s="55"/>
      <c r="F33" s="55"/>
      <c r="G33" s="55"/>
    </row>
    <row r="34" spans="1:12" ht="33" hidden="1" customHeight="1">
      <c r="A34" s="55"/>
      <c r="B34" s="55"/>
      <c r="C34" s="55"/>
      <c r="D34" s="55"/>
      <c r="E34" s="55"/>
      <c r="F34" s="55"/>
      <c r="G34" s="55"/>
    </row>
    <row r="35" spans="1:12" ht="33" hidden="1" customHeight="1">
      <c r="A35" s="55"/>
      <c r="B35" s="55"/>
      <c r="C35" s="55"/>
      <c r="D35" s="55"/>
      <c r="E35" s="55"/>
      <c r="F35" s="55"/>
      <c r="G35" s="55"/>
    </row>
    <row r="36" spans="1:12" ht="24" customHeight="1">
      <c r="A36" s="135" t="s">
        <v>102</v>
      </c>
      <c r="B36" s="135"/>
      <c r="C36" s="134">
        <f>基本情報入力!C3</f>
        <v>0</v>
      </c>
      <c r="D36" s="134"/>
      <c r="E36" s="54" t="s">
        <v>101</v>
      </c>
      <c r="F36" s="56">
        <f>基本情報入力!B10</f>
        <v>7.0000000000000001E-3</v>
      </c>
    </row>
    <row r="37" spans="1:12" ht="24" customHeight="1">
      <c r="A37" s="133" t="s">
        <v>103</v>
      </c>
      <c r="B37" s="133"/>
      <c r="C37" s="136">
        <f>基本情報入力!B12</f>
        <v>0</v>
      </c>
      <c r="D37" s="137"/>
      <c r="E37" s="58" t="s">
        <v>108</v>
      </c>
      <c r="F37" s="59">
        <f>基本情報入力!B14</f>
        <v>0.1</v>
      </c>
    </row>
    <row r="38" spans="1:12" ht="33" customHeight="1">
      <c r="A38" s="133" t="s">
        <v>107</v>
      </c>
      <c r="B38" s="133"/>
      <c r="C38" s="136">
        <f>基本情報入力!D12</f>
        <v>0</v>
      </c>
      <c r="D38" s="136"/>
      <c r="E38" s="95" t="s">
        <v>132</v>
      </c>
      <c r="F38" s="105">
        <f>基本情報入力!$D$13</f>
        <v>0</v>
      </c>
    </row>
    <row r="39" spans="1:12" ht="24.95" hidden="1" customHeight="1">
      <c r="A39" s="15" t="s">
        <v>54</v>
      </c>
      <c r="B39" s="32">
        <f>基本情報入力!B7</f>
        <v>0</v>
      </c>
      <c r="C39" s="15" t="s">
        <v>52</v>
      </c>
      <c r="D39" s="31">
        <f>基本情報入力!B10</f>
        <v>7.0000000000000001E-3</v>
      </c>
      <c r="E39" s="15" t="s">
        <v>50</v>
      </c>
      <c r="F39" s="31">
        <f>基本情報入力!D10</f>
        <v>4.0000000000000001E-3</v>
      </c>
    </row>
    <row r="40" spans="1:12" ht="24.95" hidden="1" customHeight="1">
      <c r="A40" s="15" t="s">
        <v>49</v>
      </c>
      <c r="B40" s="32">
        <f>基本情報入力!B12</f>
        <v>0</v>
      </c>
      <c r="C40" s="15" t="s">
        <v>51</v>
      </c>
      <c r="D40" s="32">
        <f>基本情報入力!D12</f>
        <v>0</v>
      </c>
      <c r="E40" s="15" t="s">
        <v>53</v>
      </c>
      <c r="F40" s="34">
        <f>基本情報入力!B13</f>
        <v>0</v>
      </c>
    </row>
    <row r="41" spans="1:12" ht="24.95" hidden="1" customHeight="1">
      <c r="A41" s="25" t="s">
        <v>66</v>
      </c>
      <c r="B41" s="35">
        <f>基本情報入力!B14</f>
        <v>0.1</v>
      </c>
      <c r="E41" s="4"/>
      <c r="F41" s="13"/>
    </row>
    <row r="42" spans="1:12" ht="24.95" hidden="1" customHeight="1">
      <c r="B42" s="6" t="s">
        <v>1</v>
      </c>
      <c r="C42" s="2">
        <f>D40</f>
        <v>0</v>
      </c>
      <c r="D42" s="6" t="s">
        <v>2</v>
      </c>
      <c r="E42" s="2" t="e">
        <f>ROUNDDOWN(C42*0.9/B39,0)</f>
        <v>#DIV/0!</v>
      </c>
      <c r="F42" s="6" t="s">
        <v>3</v>
      </c>
      <c r="G42" s="2" t="e">
        <f>C42*0.9-(E42*B39)</f>
        <v>#DIV/0!</v>
      </c>
    </row>
    <row r="43" spans="1:12" ht="24.95" hidden="1" customHeight="1">
      <c r="B43" s="6" t="s">
        <v>4</v>
      </c>
      <c r="C43" s="2">
        <f>B40-D40</f>
        <v>0</v>
      </c>
      <c r="D43" s="6" t="s">
        <v>5</v>
      </c>
      <c r="E43" s="2" t="e">
        <f>ROUNDDOWN(C43*0.9/B39,0)</f>
        <v>#DIV/0!</v>
      </c>
      <c r="F43" s="6" t="s">
        <v>6</v>
      </c>
      <c r="G43" s="2" t="e">
        <f>C43*0.9-(E43*B39)</f>
        <v>#DIV/0!</v>
      </c>
    </row>
    <row r="44" spans="1:12" ht="24.95" hidden="1" customHeight="1"/>
    <row r="45" spans="1:12" s="9" customFormat="1" ht="24.95" hidden="1" customHeight="1">
      <c r="A45" s="7" t="s">
        <v>35</v>
      </c>
      <c r="B45" s="8" t="s">
        <v>7</v>
      </c>
      <c r="C45" s="89" t="s">
        <v>10</v>
      </c>
      <c r="D45" s="8" t="s">
        <v>33</v>
      </c>
      <c r="E45" s="8" t="s">
        <v>9</v>
      </c>
      <c r="F45" s="8"/>
      <c r="G45" s="8" t="s">
        <v>11</v>
      </c>
    </row>
    <row r="46" spans="1:12" ht="24.95" hidden="1" customHeight="1">
      <c r="A46" s="7" t="s">
        <v>34</v>
      </c>
      <c r="B46" s="10" t="e">
        <f>SUM(B74:B95)</f>
        <v>#DIV/0!</v>
      </c>
      <c r="C46" s="90"/>
      <c r="D46" s="10" t="e">
        <f>ROUNDDOWN((B46+C46)*$B$41,0)</f>
        <v>#DIV/0!</v>
      </c>
      <c r="E46" s="10" t="e">
        <f>D74</f>
        <v>#DIV/0!</v>
      </c>
      <c r="F46" s="10"/>
      <c r="G46" s="10" t="e">
        <f>ROUND((B46+C46+D46+E46)*F$39/12*4,-1)</f>
        <v>#DIV/0!</v>
      </c>
      <c r="I46" s="10" t="e">
        <f>ROUNDUP($E$43/12*4,0)+$G$43</f>
        <v>#DIV/0!</v>
      </c>
      <c r="K46" s="78" t="e">
        <f>($B46+$C46+$D46+$E46)*$F$39/12*4-$G46</f>
        <v>#DIV/0!</v>
      </c>
      <c r="L46" s="79" t="e">
        <f>ROUND(K46+K47,-1)</f>
        <v>#DIV/0!</v>
      </c>
    </row>
    <row r="47" spans="1:12" ht="24.95" hidden="1" customHeight="1">
      <c r="A47" s="7" t="s">
        <v>12</v>
      </c>
      <c r="B47" s="10" t="e">
        <f>SUM(B75:B$95)</f>
        <v>#DIV/0!</v>
      </c>
      <c r="C47" s="90"/>
      <c r="D47" s="10" t="e">
        <f t="shared" ref="D47:D67" si="0">ROUNDDOWN((B47+C47)*$B$41,0)</f>
        <v>#DIV/0!</v>
      </c>
      <c r="E47" s="10" t="e">
        <f t="shared" ref="E47:E67" si="1">D75</f>
        <v>#DIV/0!</v>
      </c>
      <c r="F47" s="10"/>
      <c r="G47" s="10" t="e">
        <f>ROUND((B47+C47+D47+E47)*F$39,-1)</f>
        <v>#DIV/0!</v>
      </c>
      <c r="I47" s="10" t="e">
        <f>$E$43</f>
        <v>#DIV/0!</v>
      </c>
      <c r="K47" s="78" t="e">
        <f>($B47+$C47+$D47+$E47)*$F$39-$G47</f>
        <v>#DIV/0!</v>
      </c>
      <c r="L47" s="20" t="s">
        <v>128</v>
      </c>
    </row>
    <row r="48" spans="1:12" ht="24.95" hidden="1" customHeight="1">
      <c r="A48" s="7" t="s">
        <v>13</v>
      </c>
      <c r="B48" s="10" t="e">
        <f>SUM(B76:B$95)</f>
        <v>#DIV/0!</v>
      </c>
      <c r="C48" s="90"/>
      <c r="D48" s="10" t="e">
        <f t="shared" si="0"/>
        <v>#DIV/0!</v>
      </c>
      <c r="E48" s="10">
        <f t="shared" si="1"/>
        <v>0</v>
      </c>
      <c r="F48" s="10"/>
      <c r="G48" s="10" t="e">
        <f>ROUND((B48+C48+D48+E48)*F$39,-1)</f>
        <v>#DIV/0!</v>
      </c>
      <c r="I48" s="10" t="e">
        <f>$E$43</f>
        <v>#DIV/0!</v>
      </c>
    </row>
    <row r="49" spans="1:9" ht="24.95" hidden="1" customHeight="1">
      <c r="A49" s="7" t="s">
        <v>14</v>
      </c>
      <c r="B49" s="10" t="e">
        <f>SUM(B77:B$95)</f>
        <v>#DIV/0!</v>
      </c>
      <c r="C49" s="90"/>
      <c r="D49" s="10" t="e">
        <f t="shared" si="0"/>
        <v>#DIV/0!</v>
      </c>
      <c r="E49" s="10">
        <f t="shared" si="1"/>
        <v>0</v>
      </c>
      <c r="F49" s="10"/>
      <c r="G49" s="10">
        <f>IF($B$39&lt;4,0,ROUND((B49+C49+D49+E49)*F$39,-1))</f>
        <v>0</v>
      </c>
      <c r="I49" s="10">
        <f>IF($B$39&lt;4,0,$E$43)</f>
        <v>0</v>
      </c>
    </row>
    <row r="50" spans="1:9" ht="24.95" hidden="1" customHeight="1">
      <c r="A50" s="7" t="s">
        <v>15</v>
      </c>
      <c r="B50" s="10" t="e">
        <f>SUM(B78:B$95)</f>
        <v>#DIV/0!</v>
      </c>
      <c r="C50" s="90"/>
      <c r="D50" s="10" t="e">
        <f t="shared" si="0"/>
        <v>#DIV/0!</v>
      </c>
      <c r="E50" s="10">
        <f t="shared" si="1"/>
        <v>0</v>
      </c>
      <c r="F50" s="10"/>
      <c r="G50" s="10">
        <f>IF($B$39&lt;5,0,ROUND((B50+C50+D50+E50)*F$39,-1))</f>
        <v>0</v>
      </c>
      <c r="I50" s="10">
        <f>IF($B$39&lt;5,0,$E$43)</f>
        <v>0</v>
      </c>
    </row>
    <row r="51" spans="1:9" ht="24.95" hidden="1" customHeight="1">
      <c r="A51" s="7" t="s">
        <v>16</v>
      </c>
      <c r="B51" s="10" t="e">
        <f>SUM(B79:B$95)</f>
        <v>#DIV/0!</v>
      </c>
      <c r="C51" s="90"/>
      <c r="D51" s="10" t="e">
        <f t="shared" si="0"/>
        <v>#DIV/0!</v>
      </c>
      <c r="E51" s="10">
        <f t="shared" si="1"/>
        <v>0</v>
      </c>
      <c r="F51" s="10"/>
      <c r="G51" s="10">
        <f>IF($B$39&lt;6,0,ROUND((B51+C51+D51+E51)*F$39,-1))</f>
        <v>0</v>
      </c>
      <c r="I51" s="10">
        <f>IF($B$39&lt;6,0,$E$43)</f>
        <v>0</v>
      </c>
    </row>
    <row r="52" spans="1:9" ht="24.95" hidden="1" customHeight="1">
      <c r="A52" s="7" t="s">
        <v>17</v>
      </c>
      <c r="B52" s="10" t="e">
        <f>SUM(B80:B$95)</f>
        <v>#DIV/0!</v>
      </c>
      <c r="C52" s="90"/>
      <c r="D52" s="10" t="e">
        <f t="shared" si="0"/>
        <v>#DIV/0!</v>
      </c>
      <c r="E52" s="10">
        <f t="shared" si="1"/>
        <v>0</v>
      </c>
      <c r="F52" s="10"/>
      <c r="G52" s="10">
        <f>IF($B$39&lt;7,0,ROUND((B52+C52+D52+E52)*F$39,-1))</f>
        <v>0</v>
      </c>
      <c r="I52" s="10">
        <f>IF($B$39&lt;7,0,$E$43)</f>
        <v>0</v>
      </c>
    </row>
    <row r="53" spans="1:9" ht="24.95" hidden="1" customHeight="1">
      <c r="A53" s="7" t="s">
        <v>18</v>
      </c>
      <c r="B53" s="10" t="e">
        <f>SUM(B81:B$95)</f>
        <v>#DIV/0!</v>
      </c>
      <c r="C53" s="90"/>
      <c r="D53" s="10" t="e">
        <f t="shared" si="0"/>
        <v>#DIV/0!</v>
      </c>
      <c r="E53" s="10">
        <f t="shared" si="1"/>
        <v>0</v>
      </c>
      <c r="F53" s="10"/>
      <c r="G53" s="10">
        <f>IF($B$39&lt;8,0,ROUND((B53+C53+D53+E53)*F$39,-1))</f>
        <v>0</v>
      </c>
      <c r="I53" s="10">
        <f>IF($B$39&lt;8,0,$E$43)</f>
        <v>0</v>
      </c>
    </row>
    <row r="54" spans="1:9" ht="24.95" hidden="1" customHeight="1">
      <c r="A54" s="7" t="s">
        <v>19</v>
      </c>
      <c r="B54" s="10" t="e">
        <f>SUM(B82:B$95)</f>
        <v>#DIV/0!</v>
      </c>
      <c r="C54" s="90"/>
      <c r="D54" s="10" t="e">
        <f t="shared" si="0"/>
        <v>#DIV/0!</v>
      </c>
      <c r="E54" s="10">
        <f t="shared" si="1"/>
        <v>0</v>
      </c>
      <c r="F54" s="10"/>
      <c r="G54" s="10">
        <f>IF($B$39&lt;9,0,ROUND((B54+C54+D54+E54)*F$39,-1))</f>
        <v>0</v>
      </c>
      <c r="I54" s="10">
        <f>IF($B$39&lt;9,0,$E$43)</f>
        <v>0</v>
      </c>
    </row>
    <row r="55" spans="1:9" ht="24.95" hidden="1" customHeight="1">
      <c r="A55" s="7" t="s">
        <v>20</v>
      </c>
      <c r="B55" s="10" t="e">
        <f>SUM(B83:B$95)</f>
        <v>#DIV/0!</v>
      </c>
      <c r="C55" s="90"/>
      <c r="D55" s="10" t="e">
        <f t="shared" si="0"/>
        <v>#DIV/0!</v>
      </c>
      <c r="E55" s="10">
        <f t="shared" si="1"/>
        <v>0</v>
      </c>
      <c r="F55" s="10"/>
      <c r="G55" s="10">
        <f>IF($B$39&lt;10,0,ROUND((B55+C55+D55+E55)*F$39,-1))</f>
        <v>0</v>
      </c>
      <c r="I55" s="10">
        <f>IF($B$39&lt;10,0,$E$43)</f>
        <v>0</v>
      </c>
    </row>
    <row r="56" spans="1:9" ht="24.95" hidden="1" customHeight="1">
      <c r="A56" s="7" t="s">
        <v>21</v>
      </c>
      <c r="B56" s="10" t="e">
        <f>SUM(B84:B$95)</f>
        <v>#DIV/0!</v>
      </c>
      <c r="C56" s="90"/>
      <c r="D56" s="10" t="e">
        <f t="shared" si="0"/>
        <v>#DIV/0!</v>
      </c>
      <c r="E56" s="10">
        <f t="shared" si="1"/>
        <v>0</v>
      </c>
      <c r="F56" s="10"/>
      <c r="G56" s="10">
        <f>IF($B$39&lt;11,0,ROUND((B56+C56+D56+E56)*F$39,-1))</f>
        <v>0</v>
      </c>
      <c r="I56" s="10">
        <f>IF($B$39&lt;11,0,$E$43)</f>
        <v>0</v>
      </c>
    </row>
    <row r="57" spans="1:9" ht="24.95" hidden="1" customHeight="1">
      <c r="A57" s="7" t="s">
        <v>22</v>
      </c>
      <c r="B57" s="10" t="e">
        <f>SUM(B85:B$95)</f>
        <v>#DIV/0!</v>
      </c>
      <c r="C57" s="90"/>
      <c r="D57" s="10" t="e">
        <f t="shared" si="0"/>
        <v>#DIV/0!</v>
      </c>
      <c r="E57" s="10">
        <f t="shared" si="1"/>
        <v>0</v>
      </c>
      <c r="F57" s="10"/>
      <c r="G57" s="10">
        <f>IF($B$39&lt;12,0,ROUND((B57+C57+D57+E57)*F$39,-1))</f>
        <v>0</v>
      </c>
      <c r="I57" s="10">
        <f>IF($B$39&lt;12,0,$E$43)</f>
        <v>0</v>
      </c>
    </row>
    <row r="58" spans="1:9" ht="24.95" hidden="1" customHeight="1">
      <c r="A58" s="7" t="s">
        <v>23</v>
      </c>
      <c r="B58" s="10" t="e">
        <f>SUM(B86:B$95)</f>
        <v>#DIV/0!</v>
      </c>
      <c r="C58" s="90"/>
      <c r="D58" s="10" t="e">
        <f t="shared" si="0"/>
        <v>#DIV/0!</v>
      </c>
      <c r="E58" s="10">
        <f t="shared" si="1"/>
        <v>0</v>
      </c>
      <c r="F58" s="10"/>
      <c r="G58" s="10">
        <f>IF($B$39&lt;13,0,ROUND((B58+C58+D58+E58)*F$39,-1))</f>
        <v>0</v>
      </c>
      <c r="I58" s="10">
        <f>IF($B$39&lt;13,0,$E$43)</f>
        <v>0</v>
      </c>
    </row>
    <row r="59" spans="1:9" ht="24.95" hidden="1" customHeight="1">
      <c r="A59" s="7" t="s">
        <v>24</v>
      </c>
      <c r="B59" s="10" t="e">
        <f>SUM(B87:B$95)</f>
        <v>#DIV/0!</v>
      </c>
      <c r="C59" s="90"/>
      <c r="D59" s="10" t="e">
        <f t="shared" si="0"/>
        <v>#DIV/0!</v>
      </c>
      <c r="E59" s="10">
        <f t="shared" si="1"/>
        <v>0</v>
      </c>
      <c r="F59" s="10"/>
      <c r="G59" s="10">
        <f>IF($B$39&lt;14,0,ROUND((B59+C59+D59+E59)*F$39,-1))</f>
        <v>0</v>
      </c>
      <c r="I59" s="10">
        <f>IF($B$39&lt;14,0,$E$43)</f>
        <v>0</v>
      </c>
    </row>
    <row r="60" spans="1:9" ht="24.95" hidden="1" customHeight="1">
      <c r="A60" s="7" t="s">
        <v>25</v>
      </c>
      <c r="B60" s="10" t="e">
        <f>SUM(B88:B$95)</f>
        <v>#DIV/0!</v>
      </c>
      <c r="C60" s="90"/>
      <c r="D60" s="10" t="e">
        <f t="shared" si="0"/>
        <v>#DIV/0!</v>
      </c>
      <c r="E60" s="10">
        <f t="shared" si="1"/>
        <v>0</v>
      </c>
      <c r="F60" s="10"/>
      <c r="G60" s="10">
        <f>IF($B$39&lt;15,0,ROUND((B60+C60+D60+E60)*F$39,-1))</f>
        <v>0</v>
      </c>
      <c r="I60" s="10">
        <f>IF($B$39&lt;15,0,$E$43)</f>
        <v>0</v>
      </c>
    </row>
    <row r="61" spans="1:9" ht="24.95" hidden="1" customHeight="1">
      <c r="A61" s="7" t="s">
        <v>26</v>
      </c>
      <c r="B61" s="10" t="e">
        <f>SUM(B89:B$95)</f>
        <v>#DIV/0!</v>
      </c>
      <c r="C61" s="90"/>
      <c r="D61" s="10" t="e">
        <f t="shared" si="0"/>
        <v>#DIV/0!</v>
      </c>
      <c r="E61" s="10">
        <f t="shared" si="1"/>
        <v>0</v>
      </c>
      <c r="F61" s="10"/>
      <c r="G61" s="10">
        <f>IF($B$39&lt;16,0,ROUND((B61+C61+D61+E61)*F$39,-1))</f>
        <v>0</v>
      </c>
      <c r="I61" s="10">
        <f>IF($B$39&lt;16,0,$E$43)</f>
        <v>0</v>
      </c>
    </row>
    <row r="62" spans="1:9" ht="24.95" hidden="1" customHeight="1">
      <c r="A62" s="7" t="s">
        <v>27</v>
      </c>
      <c r="B62" s="10" t="e">
        <f>SUM(B90:B$95)</f>
        <v>#DIV/0!</v>
      </c>
      <c r="C62" s="90"/>
      <c r="D62" s="10" t="e">
        <f t="shared" si="0"/>
        <v>#DIV/0!</v>
      </c>
      <c r="E62" s="10">
        <f t="shared" si="1"/>
        <v>0</v>
      </c>
      <c r="F62" s="10"/>
      <c r="G62" s="10">
        <f>IF($B$39&lt;17,0,ROUND((B62+C62+D62+E62)*F$39,-1))</f>
        <v>0</v>
      </c>
      <c r="I62" s="10">
        <f>IF($B$39&lt;17,0,$E$43)</f>
        <v>0</v>
      </c>
    </row>
    <row r="63" spans="1:9" ht="24.95" hidden="1" customHeight="1">
      <c r="A63" s="7" t="s">
        <v>28</v>
      </c>
      <c r="B63" s="10" t="e">
        <f>SUM(B91:B$95)</f>
        <v>#DIV/0!</v>
      </c>
      <c r="C63" s="90"/>
      <c r="D63" s="10" t="e">
        <f t="shared" si="0"/>
        <v>#DIV/0!</v>
      </c>
      <c r="E63" s="10">
        <f t="shared" si="1"/>
        <v>0</v>
      </c>
      <c r="F63" s="10"/>
      <c r="G63" s="10">
        <f>IF($B$39&lt;18,0,ROUND((B63+C63+D63+E63)*F$39,-1))</f>
        <v>0</v>
      </c>
      <c r="I63" s="10">
        <f>IF($B$39&lt;18,0,$E$43)</f>
        <v>0</v>
      </c>
    </row>
    <row r="64" spans="1:9" ht="24.95" hidden="1" customHeight="1">
      <c r="A64" s="7" t="s">
        <v>29</v>
      </c>
      <c r="B64" s="10" t="e">
        <f>SUM(B92:B$95)</f>
        <v>#DIV/0!</v>
      </c>
      <c r="C64" s="90"/>
      <c r="D64" s="10" t="e">
        <f t="shared" si="0"/>
        <v>#DIV/0!</v>
      </c>
      <c r="E64" s="10">
        <f t="shared" si="1"/>
        <v>0</v>
      </c>
      <c r="F64" s="10"/>
      <c r="G64" s="10">
        <f>IF($B$39&lt;19,0,ROUND((B64+C64+D64+E64)*F$39,-1))</f>
        <v>0</v>
      </c>
      <c r="I64" s="10">
        <f>IF($B$39&lt;19,0,$E$43)</f>
        <v>0</v>
      </c>
    </row>
    <row r="65" spans="1:9" ht="24.95" hidden="1" customHeight="1">
      <c r="A65" s="7" t="s">
        <v>30</v>
      </c>
      <c r="B65" s="10" t="e">
        <f>SUM(B93:B$95)</f>
        <v>#DIV/0!</v>
      </c>
      <c r="C65" s="90"/>
      <c r="D65" s="10" t="e">
        <f t="shared" si="0"/>
        <v>#DIV/0!</v>
      </c>
      <c r="E65" s="10">
        <f t="shared" si="1"/>
        <v>0</v>
      </c>
      <c r="F65" s="10"/>
      <c r="G65" s="10">
        <f>IF($B$39&lt;20,0,ROUND((B65+C65+D65+E65)*F$39,-1))</f>
        <v>0</v>
      </c>
      <c r="I65" s="10">
        <f>IF($B$39&lt;20,0,$E$43)</f>
        <v>0</v>
      </c>
    </row>
    <row r="66" spans="1:9" ht="24.95" hidden="1" customHeight="1">
      <c r="A66" s="7" t="s">
        <v>31</v>
      </c>
      <c r="B66" s="10" t="e">
        <f>SUM(B94:B$95)</f>
        <v>#DIV/0!</v>
      </c>
      <c r="C66" s="90"/>
      <c r="D66" s="10" t="e">
        <f t="shared" si="0"/>
        <v>#DIV/0!</v>
      </c>
      <c r="E66" s="10" t="e">
        <f t="shared" si="1"/>
        <v>#DIV/0!</v>
      </c>
      <c r="F66" s="10"/>
      <c r="G66" s="10" t="e">
        <f>ROUND((B66+C66+D66+E66)*F$39/12*8,-1)</f>
        <v>#DIV/0!</v>
      </c>
      <c r="H66" s="11"/>
      <c r="I66" s="10" t="e">
        <f>ROUNDDOWN($E$43/12*8,0)</f>
        <v>#DIV/0!</v>
      </c>
    </row>
    <row r="67" spans="1:9" ht="24.95" hidden="1" customHeight="1">
      <c r="A67" s="7" t="s">
        <v>32</v>
      </c>
      <c r="B67" s="10">
        <f>SUM(B95:B$95)</f>
        <v>0</v>
      </c>
      <c r="C67" s="90"/>
      <c r="D67" s="10">
        <f t="shared" si="0"/>
        <v>0</v>
      </c>
      <c r="E67" s="10">
        <f t="shared" si="1"/>
        <v>0</v>
      </c>
      <c r="F67" s="10"/>
      <c r="G67" s="10">
        <f>ROUND((B67+C67+D67)*F$39/12*3,-1)</f>
        <v>0</v>
      </c>
      <c r="I67" s="10">
        <f>$C$43*0.1</f>
        <v>0</v>
      </c>
    </row>
    <row r="68" spans="1:9" s="18" customFormat="1" ht="19.5" hidden="1" customHeight="1">
      <c r="A68" s="16" t="s">
        <v>61</v>
      </c>
      <c r="B68" s="17"/>
      <c r="C68" s="17"/>
      <c r="D68" s="17"/>
      <c r="E68" s="17"/>
      <c r="F68" s="17"/>
      <c r="G68" s="17"/>
    </row>
    <row r="69" spans="1:9" s="18" customFormat="1" ht="19.5" hidden="1" customHeight="1">
      <c r="A69" s="19" t="s">
        <v>65</v>
      </c>
      <c r="B69" s="17"/>
      <c r="C69" s="17"/>
      <c r="D69" s="17"/>
      <c r="E69" s="17"/>
      <c r="F69" s="17"/>
      <c r="G69" s="17"/>
    </row>
    <row r="70" spans="1:9" s="18" customFormat="1" ht="19.5" hidden="1" customHeight="1">
      <c r="A70" s="19" t="s">
        <v>63</v>
      </c>
      <c r="B70" s="17"/>
      <c r="C70" s="17"/>
      <c r="D70" s="17"/>
      <c r="E70" s="17"/>
      <c r="F70" s="17"/>
      <c r="G70" s="17"/>
    </row>
    <row r="71" spans="1:9" s="18" customFormat="1" ht="19.5" hidden="1" customHeight="1">
      <c r="A71" s="16" t="s">
        <v>64</v>
      </c>
      <c r="B71" s="17"/>
      <c r="C71" s="17"/>
      <c r="D71" s="17"/>
      <c r="E71" s="17"/>
      <c r="F71" s="17"/>
      <c r="G71" s="17"/>
    </row>
    <row r="72" spans="1:9" s="18" customFormat="1" ht="19.5" hidden="1" customHeight="1">
      <c r="A72" s="16"/>
      <c r="B72" s="17"/>
      <c r="C72" s="17"/>
      <c r="D72" s="17"/>
      <c r="E72" s="138" t="s">
        <v>133</v>
      </c>
      <c r="F72" s="139"/>
      <c r="G72" s="139"/>
    </row>
    <row r="73" spans="1:9" ht="34.5" customHeight="1">
      <c r="A73" s="12" t="s">
        <v>77</v>
      </c>
      <c r="B73" s="8" t="s">
        <v>7</v>
      </c>
      <c r="C73" s="8" t="s">
        <v>8</v>
      </c>
      <c r="D73" s="8" t="s">
        <v>45</v>
      </c>
      <c r="E73" s="8" t="s">
        <v>0</v>
      </c>
      <c r="F73" s="57" t="s">
        <v>105</v>
      </c>
      <c r="G73" s="8" t="s">
        <v>47</v>
      </c>
    </row>
    <row r="74" spans="1:9" ht="24.95" customHeight="1">
      <c r="A74" s="12" t="s">
        <v>80</v>
      </c>
      <c r="B74" s="10" t="e">
        <f>ROUNDUP(E$42/12*4,0)+G$42</f>
        <v>#DIV/0!</v>
      </c>
      <c r="C74" s="10" t="e">
        <f>ROUNDDOWN(B74*$B$41,0)</f>
        <v>#DIV/0!</v>
      </c>
      <c r="D74" s="10" t="e">
        <f>ROUNDDOWN(SUM(B74:B94)*D$39/12*4,0)</f>
        <v>#DIV/0!</v>
      </c>
      <c r="E74" s="81" t="e">
        <f>G46+G47</f>
        <v>#DIV/0!</v>
      </c>
      <c r="F74" s="10">
        <f>ROUND((基本情報入力!B12+(基本情報入力!B12*基本情報入力!B14))*基本情報入力!B18/100*基本情報入力!B19/1000,-1)</f>
        <v>0</v>
      </c>
      <c r="G74" s="10" t="e">
        <f>SUM(B74:F74)</f>
        <v>#DIV/0!</v>
      </c>
    </row>
    <row r="75" spans="1:9" ht="24.95" customHeight="1">
      <c r="A75" s="12" t="s">
        <v>81</v>
      </c>
      <c r="B75" s="10">
        <f>IF($B$39&lt;2,0,E$42)</f>
        <v>0</v>
      </c>
      <c r="C75" s="10">
        <f t="shared" ref="C75:C95" si="2">ROUNDDOWN(B75*$B$41,0)</f>
        <v>0</v>
      </c>
      <c r="D75" s="10" t="e">
        <f>ROUNDDOWN(SUM(B75:B94)*D$39,0)</f>
        <v>#DIV/0!</v>
      </c>
      <c r="E75" s="10" t="e">
        <f>G48</f>
        <v>#DIV/0!</v>
      </c>
      <c r="F75" s="10"/>
      <c r="G75" s="10" t="e">
        <f>SUM(B75:F75)</f>
        <v>#DIV/0!</v>
      </c>
    </row>
    <row r="76" spans="1:9" ht="24.95" customHeight="1">
      <c r="A76" s="12" t="s">
        <v>82</v>
      </c>
      <c r="B76" s="10">
        <f>IF($B$39&lt;3,0,E$42)</f>
        <v>0</v>
      </c>
      <c r="C76" s="10">
        <f t="shared" si="2"/>
        <v>0</v>
      </c>
      <c r="D76" s="10">
        <f>IF($B$39&lt;3,0,ROUNDDOWN(SUM(B76:B$94)*D$39,0))</f>
        <v>0</v>
      </c>
      <c r="E76" s="10">
        <f>IF($B$39=3,$G$66,G49)</f>
        <v>0</v>
      </c>
      <c r="F76" s="10"/>
      <c r="G76" s="10">
        <f>SUM(B76:F76)</f>
        <v>0</v>
      </c>
    </row>
    <row r="77" spans="1:9" ht="24.95" customHeight="1">
      <c r="A77" s="12" t="s">
        <v>83</v>
      </c>
      <c r="B77" s="10">
        <f>IF($B$39&lt;4,0,E$42)</f>
        <v>0</v>
      </c>
      <c r="C77" s="10">
        <f t="shared" si="2"/>
        <v>0</v>
      </c>
      <c r="D77" s="10">
        <f>IF($B$39&lt;4,0,ROUNDDOWN(SUM(B77:B$94)*D$39,0))</f>
        <v>0</v>
      </c>
      <c r="E77" s="10">
        <f>IF($B$39=4,$G$66,G50)</f>
        <v>0</v>
      </c>
      <c r="F77" s="10"/>
      <c r="G77" s="10">
        <f>IF($B$39&lt;4,0,SUM(B77:F77))</f>
        <v>0</v>
      </c>
    </row>
    <row r="78" spans="1:9" ht="24.95" customHeight="1">
      <c r="A78" s="12" t="s">
        <v>84</v>
      </c>
      <c r="B78" s="10">
        <f>IF($B$39&lt;5,0,E$42)</f>
        <v>0</v>
      </c>
      <c r="C78" s="10">
        <f t="shared" si="2"/>
        <v>0</v>
      </c>
      <c r="D78" s="10">
        <f>IF($B$39&lt;5,0,ROUNDDOWN(SUM(B78:B$94)*D$39,0))</f>
        <v>0</v>
      </c>
      <c r="E78" s="10">
        <f>IF($B$39=5,$G$66,G51)</f>
        <v>0</v>
      </c>
      <c r="F78" s="10"/>
      <c r="G78" s="10">
        <f>IF($B$39&lt;5,0,SUM(B78:F78))</f>
        <v>0</v>
      </c>
    </row>
    <row r="79" spans="1:9" ht="24.95" customHeight="1">
      <c r="A79" s="12" t="s">
        <v>85</v>
      </c>
      <c r="B79" s="10">
        <f>IF($B$39&lt;6,0,E$42)</f>
        <v>0</v>
      </c>
      <c r="C79" s="10">
        <f t="shared" si="2"/>
        <v>0</v>
      </c>
      <c r="D79" s="10">
        <f>IF($B$39&lt;6,0,ROUNDDOWN(SUM(B79:B$94)*D$39,0))</f>
        <v>0</v>
      </c>
      <c r="E79" s="10">
        <f>IF($B$39=6,$G$66,G52)</f>
        <v>0</v>
      </c>
      <c r="F79" s="10"/>
      <c r="G79" s="10">
        <f>IF($B$39&lt;6,0,SUM(B79:F79))</f>
        <v>0</v>
      </c>
    </row>
    <row r="80" spans="1:9" ht="24.95" customHeight="1">
      <c r="A80" s="12" t="s">
        <v>86</v>
      </c>
      <c r="B80" s="10">
        <f>IF($B$39&lt;7,0,E$42)</f>
        <v>0</v>
      </c>
      <c r="C80" s="10">
        <f t="shared" si="2"/>
        <v>0</v>
      </c>
      <c r="D80" s="10">
        <f>IF($B$39&lt;7,0,ROUNDDOWN(SUM(B80:B$94)*D$39,0))</f>
        <v>0</v>
      </c>
      <c r="E80" s="10">
        <f>IF($B$39=7,$G$66,G53)</f>
        <v>0</v>
      </c>
      <c r="F80" s="10"/>
      <c r="G80" s="10">
        <f>IF($B$39&lt;7,0,SUM(B80:F80))</f>
        <v>0</v>
      </c>
    </row>
    <row r="81" spans="1:7" ht="24.95" hidden="1" customHeight="1">
      <c r="A81" s="12" t="s">
        <v>87</v>
      </c>
      <c r="B81" s="10">
        <f>IF($B$39&lt;8,0,E$42)</f>
        <v>0</v>
      </c>
      <c r="C81" s="10">
        <f t="shared" si="2"/>
        <v>0</v>
      </c>
      <c r="D81" s="10">
        <f>IF($B$39&lt;8,0,ROUNDDOWN(SUM(B81:B$94)*D$39,0))</f>
        <v>0</v>
      </c>
      <c r="E81" s="10">
        <f>IF($B$39=8,$G$66,G54)</f>
        <v>0</v>
      </c>
      <c r="F81" s="10"/>
      <c r="G81" s="10">
        <f>IF($B$39&lt;8,0,SUM(B81:F81))</f>
        <v>0</v>
      </c>
    </row>
    <row r="82" spans="1:7" ht="24.95" hidden="1" customHeight="1">
      <c r="A82" s="12" t="s">
        <v>88</v>
      </c>
      <c r="B82" s="10">
        <f>IF($B$39&lt;9,0,E$42)</f>
        <v>0</v>
      </c>
      <c r="C82" s="10">
        <f t="shared" si="2"/>
        <v>0</v>
      </c>
      <c r="D82" s="10">
        <f>IF($B$39&lt;9,0,ROUNDDOWN(SUM(B82:B$94)*D$39,0))</f>
        <v>0</v>
      </c>
      <c r="E82" s="10">
        <f>IF($B$39=9,$G$66,G55)</f>
        <v>0</v>
      </c>
      <c r="F82" s="10"/>
      <c r="G82" s="10">
        <f>IF($B$39&lt;9,0,SUM(B82:F82))</f>
        <v>0</v>
      </c>
    </row>
    <row r="83" spans="1:7" ht="24.95" hidden="1" customHeight="1">
      <c r="A83" s="12" t="s">
        <v>89</v>
      </c>
      <c r="B83" s="10">
        <f>IF($B$39&lt;10,0,E$42)</f>
        <v>0</v>
      </c>
      <c r="C83" s="10">
        <f t="shared" si="2"/>
        <v>0</v>
      </c>
      <c r="D83" s="10">
        <f>IF($B$39&lt;10,0,ROUNDDOWN(SUM(B83:B$94)*D$39,0))</f>
        <v>0</v>
      </c>
      <c r="E83" s="10">
        <f>IF($B$39=10,$G$66,G56)</f>
        <v>0</v>
      </c>
      <c r="F83" s="10"/>
      <c r="G83" s="10">
        <f>IF($B$39&lt;10,0,SUM(B83:F83))</f>
        <v>0</v>
      </c>
    </row>
    <row r="84" spans="1:7" ht="24.95" hidden="1" customHeight="1">
      <c r="A84" s="12" t="s">
        <v>90</v>
      </c>
      <c r="B84" s="10">
        <f>IF($B$39&lt;11,0,E$42)</f>
        <v>0</v>
      </c>
      <c r="C84" s="10">
        <f t="shared" si="2"/>
        <v>0</v>
      </c>
      <c r="D84" s="10">
        <f>IF($B$39&lt;11,0,ROUNDDOWN(SUM(B84:B$94)*D$39,0))</f>
        <v>0</v>
      </c>
      <c r="E84" s="10">
        <f>IF($B$39=11,$G$66,G57)</f>
        <v>0</v>
      </c>
      <c r="F84" s="10"/>
      <c r="G84" s="10">
        <f>IF($B$39&lt;11,0,SUM(B84:F84))</f>
        <v>0</v>
      </c>
    </row>
    <row r="85" spans="1:7" ht="24.95" hidden="1" customHeight="1">
      <c r="A85" s="12" t="s">
        <v>91</v>
      </c>
      <c r="B85" s="10">
        <f>IF($B$39&lt;12,0,E$42)</f>
        <v>0</v>
      </c>
      <c r="C85" s="10">
        <f t="shared" si="2"/>
        <v>0</v>
      </c>
      <c r="D85" s="10">
        <f>IF($B$39&lt;12,0,ROUNDDOWN(SUM(B85:B$94)*D$39,0))</f>
        <v>0</v>
      </c>
      <c r="E85" s="10">
        <f>IF($B$39=12,$G$66,G58)</f>
        <v>0</v>
      </c>
      <c r="F85" s="10"/>
      <c r="G85" s="10">
        <f>IF($B$39&lt;12,0,SUM(B85:F85))</f>
        <v>0</v>
      </c>
    </row>
    <row r="86" spans="1:7" ht="24.95" hidden="1" customHeight="1">
      <c r="A86" s="12" t="s">
        <v>92</v>
      </c>
      <c r="B86" s="10">
        <f>IF($B$39&lt;13,0,E$42)</f>
        <v>0</v>
      </c>
      <c r="C86" s="10">
        <f t="shared" si="2"/>
        <v>0</v>
      </c>
      <c r="D86" s="10">
        <f>IF($B$39&lt;13,0,ROUNDDOWN(SUM(B86:B$94)*D$39,0))</f>
        <v>0</v>
      </c>
      <c r="E86" s="10">
        <f>IF($B$39=13,$G$66,G59)</f>
        <v>0</v>
      </c>
      <c r="F86" s="10"/>
      <c r="G86" s="10">
        <f>IF($B$39&lt;13,0,SUM(B86:F86))</f>
        <v>0</v>
      </c>
    </row>
    <row r="87" spans="1:7" ht="24.95" hidden="1" customHeight="1">
      <c r="A87" s="12" t="s">
        <v>93</v>
      </c>
      <c r="B87" s="10">
        <f>IF($B$39&lt;14,0,E$42)</f>
        <v>0</v>
      </c>
      <c r="C87" s="10">
        <f t="shared" si="2"/>
        <v>0</v>
      </c>
      <c r="D87" s="10">
        <f>IF($B$39&lt;14,0,ROUNDDOWN(SUM(B87:B$94)*D$39,0))</f>
        <v>0</v>
      </c>
      <c r="E87" s="10">
        <f>IF($B$39=14,$G$66,G60)</f>
        <v>0</v>
      </c>
      <c r="F87" s="10"/>
      <c r="G87" s="10">
        <f>IF($B$39&lt;14,0,SUM(B87:F87))</f>
        <v>0</v>
      </c>
    </row>
    <row r="88" spans="1:7" ht="24.95" hidden="1" customHeight="1">
      <c r="A88" s="12" t="s">
        <v>94</v>
      </c>
      <c r="B88" s="10">
        <f>IF($B$39&lt;15,0,E$42)</f>
        <v>0</v>
      </c>
      <c r="C88" s="10">
        <f t="shared" si="2"/>
        <v>0</v>
      </c>
      <c r="D88" s="10">
        <f>IF($B$39&lt;15,0,ROUNDDOWN(SUM(B88:B$94)*D$39,0))</f>
        <v>0</v>
      </c>
      <c r="E88" s="10">
        <f>IF($B$39=15,$G$66,G61)</f>
        <v>0</v>
      </c>
      <c r="F88" s="10"/>
      <c r="G88" s="10">
        <f>IF($B$39&lt;15,0,SUM(B88:F88))</f>
        <v>0</v>
      </c>
    </row>
    <row r="89" spans="1:7" ht="24.95" hidden="1" customHeight="1">
      <c r="A89" s="12" t="s">
        <v>95</v>
      </c>
      <c r="B89" s="10">
        <f>IF($B$39&lt;16,0,E$42)</f>
        <v>0</v>
      </c>
      <c r="C89" s="10">
        <f t="shared" si="2"/>
        <v>0</v>
      </c>
      <c r="D89" s="10">
        <f>IF($B$39&lt;16,0,ROUNDDOWN(SUM(B89:B$94)*D$39,0))</f>
        <v>0</v>
      </c>
      <c r="E89" s="10">
        <f>IF($B$39=16,$G$66,G62)</f>
        <v>0</v>
      </c>
      <c r="F89" s="10"/>
      <c r="G89" s="10">
        <f>IF($B$39&lt;16,0,SUM(B89:F89))</f>
        <v>0</v>
      </c>
    </row>
    <row r="90" spans="1:7" ht="24.95" hidden="1" customHeight="1">
      <c r="A90" s="12" t="s">
        <v>96</v>
      </c>
      <c r="B90" s="10">
        <f>IF($B$39&lt;17,0,E$42)</f>
        <v>0</v>
      </c>
      <c r="C90" s="10">
        <f t="shared" si="2"/>
        <v>0</v>
      </c>
      <c r="D90" s="10">
        <f>IF($B$39&lt;17,0,ROUNDDOWN(SUM(B90:B$94)*D$39,0))</f>
        <v>0</v>
      </c>
      <c r="E90" s="10">
        <f>IF($B$39=17,$G$66,G63)</f>
        <v>0</v>
      </c>
      <c r="F90" s="10"/>
      <c r="G90" s="10">
        <f>IF($B$39&lt;17,0,SUM(B90:F90))</f>
        <v>0</v>
      </c>
    </row>
    <row r="91" spans="1:7" ht="24.95" hidden="1" customHeight="1">
      <c r="A91" s="12" t="s">
        <v>97</v>
      </c>
      <c r="B91" s="10">
        <f>IF($B$39&lt;18,0,E$42)</f>
        <v>0</v>
      </c>
      <c r="C91" s="10">
        <f t="shared" si="2"/>
        <v>0</v>
      </c>
      <c r="D91" s="10">
        <f>IF($B$39&lt;18,0,ROUNDDOWN(SUM(B91:B$94)*D$39,0))</f>
        <v>0</v>
      </c>
      <c r="E91" s="10">
        <f>IF($B$39=18,$G$66,G64)</f>
        <v>0</v>
      </c>
      <c r="F91" s="10"/>
      <c r="G91" s="10">
        <f>IF($B$39&lt;18,0,SUM(B91:F91))</f>
        <v>0</v>
      </c>
    </row>
    <row r="92" spans="1:7" ht="24.95" hidden="1" customHeight="1">
      <c r="A92" s="12" t="s">
        <v>98</v>
      </c>
      <c r="B92" s="10">
        <f>IF($B$39&lt;19,0,E$42)</f>
        <v>0</v>
      </c>
      <c r="C92" s="10">
        <f t="shared" si="2"/>
        <v>0</v>
      </c>
      <c r="D92" s="10">
        <f>IF($B$39&lt;19,0,ROUNDDOWN(SUM(B92:B$94)*D$39,0))</f>
        <v>0</v>
      </c>
      <c r="E92" s="10">
        <f>IF($B$39=19,$G$66,G65)</f>
        <v>0</v>
      </c>
      <c r="F92" s="10"/>
      <c r="G92" s="10">
        <f>IF($B$39&lt;19,0,SUM(B92:F92))</f>
        <v>0</v>
      </c>
    </row>
    <row r="93" spans="1:7" ht="24.95" hidden="1" customHeight="1">
      <c r="A93" s="12" t="s">
        <v>99</v>
      </c>
      <c r="B93" s="10">
        <f>IF($B$39&lt;20,0,E$42)</f>
        <v>0</v>
      </c>
      <c r="C93" s="10">
        <f t="shared" si="2"/>
        <v>0</v>
      </c>
      <c r="D93" s="10">
        <f>IF($B$39&lt;20,0,ROUNDDOWN(SUM(B93:B$94)*D$39,0))</f>
        <v>0</v>
      </c>
      <c r="E93" s="10">
        <f>IF($B$39&lt;20,0,G66)</f>
        <v>0</v>
      </c>
      <c r="F93" s="10"/>
      <c r="G93" s="10">
        <f>IF($B$39&lt;20,0,SUM(B93:F93))</f>
        <v>0</v>
      </c>
    </row>
    <row r="94" spans="1:7" ht="24.95" customHeight="1">
      <c r="A94" s="12" t="s">
        <v>42</v>
      </c>
      <c r="B94" s="10" t="e">
        <f>ROUNDDOWN(E$42/12*8,0)</f>
        <v>#DIV/0!</v>
      </c>
      <c r="C94" s="10" t="e">
        <f t="shared" si="2"/>
        <v>#DIV/0!</v>
      </c>
      <c r="D94" s="10" t="e">
        <f>ROUNDDOWN(B94*D$39/12*8,0)</f>
        <v>#DIV/0!</v>
      </c>
      <c r="E94" s="10">
        <f>G67</f>
        <v>0</v>
      </c>
      <c r="F94" s="10"/>
      <c r="G94" s="10" t="e">
        <f>SUM(B94:F94)</f>
        <v>#DIV/0!</v>
      </c>
    </row>
    <row r="95" spans="1:7" ht="24.95" customHeight="1">
      <c r="A95" s="12" t="s">
        <v>43</v>
      </c>
      <c r="B95" s="10">
        <f>C$42*0.1</f>
        <v>0</v>
      </c>
      <c r="C95" s="10">
        <f t="shared" si="2"/>
        <v>0</v>
      </c>
      <c r="D95" s="10">
        <v>0</v>
      </c>
      <c r="E95" s="10">
        <f>G68</f>
        <v>0</v>
      </c>
      <c r="F95" s="10"/>
      <c r="G95" s="10">
        <f>SUM(B95:F95)</f>
        <v>0</v>
      </c>
    </row>
    <row r="96" spans="1:7" ht="27" customHeight="1">
      <c r="A96" s="14" t="s">
        <v>46</v>
      </c>
      <c r="B96" s="10" t="e">
        <f t="shared" ref="B96:G96" si="3">SUM(B74:B95)</f>
        <v>#DIV/0!</v>
      </c>
      <c r="C96" s="10" t="e">
        <f t="shared" si="3"/>
        <v>#DIV/0!</v>
      </c>
      <c r="D96" s="10" t="e">
        <f t="shared" si="3"/>
        <v>#DIV/0!</v>
      </c>
      <c r="E96" s="10" t="e">
        <f t="shared" si="3"/>
        <v>#DIV/0!</v>
      </c>
      <c r="F96" s="10">
        <f t="shared" si="3"/>
        <v>0</v>
      </c>
      <c r="G96" s="10" t="e">
        <f t="shared" si="3"/>
        <v>#DIV/0!</v>
      </c>
    </row>
    <row r="97" spans="1:7" s="20" customFormat="1" ht="20.100000000000001" customHeight="1">
      <c r="A97" s="140" t="s">
        <v>134</v>
      </c>
      <c r="B97" s="140"/>
      <c r="C97" s="140"/>
      <c r="D97" s="140"/>
      <c r="E97" s="140"/>
      <c r="F97" s="140"/>
      <c r="G97" s="140"/>
    </row>
    <row r="98" spans="1:7" ht="21.75" customHeight="1">
      <c r="A98" s="141" t="s">
        <v>150</v>
      </c>
      <c r="B98" s="141"/>
      <c r="C98" s="141"/>
      <c r="D98" s="141"/>
      <c r="E98" s="141"/>
      <c r="F98" s="141"/>
      <c r="G98" s="141"/>
    </row>
    <row r="99" spans="1:7" ht="21.95" customHeight="1">
      <c r="B99" s="132"/>
      <c r="C99" s="132"/>
      <c r="D99" s="132"/>
      <c r="E99" s="92"/>
      <c r="F99" s="91"/>
      <c r="G99" s="91"/>
    </row>
  </sheetData>
  <sheetProtection algorithmName="SHA-512" hashValue="dK6bO/OntZQIewUX2IMFZO3zpcXsRWn9Qyr5SB9TCUbYV/3VYBnP+n2dhRZa/SyhW0DY7NSbJcsRlpSTTbEfZQ==" saltValue="pTxfK3mLfJ63zLlKc2KjIw==" spinCount="100000" sheet="1" objects="1" scenarios="1"/>
  <mergeCells count="11">
    <mergeCell ref="B99:D99"/>
    <mergeCell ref="A38:B38"/>
    <mergeCell ref="A1:G1"/>
    <mergeCell ref="A36:B36"/>
    <mergeCell ref="A37:B37"/>
    <mergeCell ref="C37:D37"/>
    <mergeCell ref="C36:D36"/>
    <mergeCell ref="E72:G72"/>
    <mergeCell ref="A97:G97"/>
    <mergeCell ref="A98:G98"/>
    <mergeCell ref="C38:D38"/>
  </mergeCells>
  <phoneticPr fontId="2"/>
  <conditionalFormatting sqref="B39">
    <cfRule type="cellIs" dxfId="0" priority="1" stopIfTrue="1" operator="notBetween">
      <formula>3</formula>
      <formula>20</formula>
    </cfRule>
  </conditionalFormatting>
  <printOptions horizontalCentered="1"/>
  <pageMargins left="0.27559055118110237" right="0.27559055118110237" top="0.78740157480314965" bottom="0.7480314960629921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1">
                <anchor moveWithCells="1" sizeWithCells="1">
                  <from>
                    <xdr:col>8</xdr:col>
                    <xdr:colOff>133350</xdr:colOff>
                    <xdr:row>38</xdr:row>
                    <xdr:rowOff>38100</xdr:rowOff>
                  </from>
                  <to>
                    <xdr:col>8</xdr:col>
                    <xdr:colOff>733425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2">
                <anchor moveWithCells="1" sizeWithCells="1">
                  <from>
                    <xdr:col>9</xdr:col>
                    <xdr:colOff>133350</xdr:colOff>
                    <xdr:row>38</xdr:row>
                    <xdr:rowOff>28575</xdr:rowOff>
                  </from>
                  <to>
                    <xdr:col>9</xdr:col>
                    <xdr:colOff>733425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184"/>
  <sheetViews>
    <sheetView showGridLines="0" workbookViewId="0">
      <selection activeCell="L105" sqref="L105"/>
    </sheetView>
  </sheetViews>
  <sheetFormatPr defaultRowHeight="20.100000000000001" customHeight="1"/>
  <cols>
    <col min="1" max="1" width="13.25" style="25" customWidth="1"/>
    <col min="2" max="7" width="13.25" style="2" customWidth="1"/>
    <col min="8" max="8" width="14" style="2" hidden="1" customWidth="1"/>
    <col min="9" max="10" width="11.625" style="20" hidden="1" customWidth="1"/>
    <col min="11" max="11" width="20.375" style="20" customWidth="1"/>
    <col min="12" max="16384" width="9" style="20"/>
  </cols>
  <sheetData>
    <row r="1" spans="1:12" ht="33" customHeight="1">
      <c r="A1" s="142" t="str">
        <f>"経営（畜産ICT・楽酪GO）リース貸付料等試算表・年４回払（貸付期間" &amp;B5&amp;"年、支払回数 " &amp; D5&amp;" 回）"</f>
        <v>経営（畜産ICT・楽酪GO）リース貸付料等試算表・年４回払（貸付期間0年、支払回数 0 回）</v>
      </c>
      <c r="B1" s="142"/>
      <c r="C1" s="142"/>
      <c r="D1" s="142"/>
      <c r="E1" s="142"/>
      <c r="F1" s="142"/>
      <c r="G1" s="142"/>
    </row>
    <row r="2" spans="1:12" ht="24" customHeight="1">
      <c r="A2" s="135" t="s">
        <v>102</v>
      </c>
      <c r="B2" s="135"/>
      <c r="C2" s="134">
        <f>基本情報入力!C3</f>
        <v>0</v>
      </c>
      <c r="D2" s="134"/>
      <c r="E2" s="54" t="s">
        <v>101</v>
      </c>
      <c r="F2" s="56">
        <f>基本情報入力!B10</f>
        <v>7.0000000000000001E-3</v>
      </c>
    </row>
    <row r="3" spans="1:12" ht="24" customHeight="1">
      <c r="A3" s="135" t="s">
        <v>104</v>
      </c>
      <c r="B3" s="135"/>
      <c r="C3" s="134">
        <f>基本情報入力!B12</f>
        <v>0</v>
      </c>
      <c r="D3" s="134"/>
      <c r="E3" s="60" t="s">
        <v>108</v>
      </c>
      <c r="F3" s="61">
        <f>基本情報入力!B14</f>
        <v>0.1</v>
      </c>
    </row>
    <row r="4" spans="1:12" ht="33" customHeight="1">
      <c r="A4" s="135" t="s">
        <v>107</v>
      </c>
      <c r="B4" s="135"/>
      <c r="C4" s="134">
        <f>基本情報入力!D12</f>
        <v>0</v>
      </c>
      <c r="D4" s="134"/>
      <c r="E4" s="95" t="s">
        <v>132</v>
      </c>
      <c r="F4" s="94">
        <f>基本情報入力!$D$13</f>
        <v>0</v>
      </c>
    </row>
    <row r="5" spans="1:12" ht="26.1" hidden="1" customHeight="1">
      <c r="A5" s="25" t="s">
        <v>58</v>
      </c>
      <c r="B5" s="32">
        <f>基本情報入力!B7</f>
        <v>0</v>
      </c>
      <c r="C5" s="24" t="s">
        <v>60</v>
      </c>
      <c r="D5" s="33">
        <f>B5*4</f>
        <v>0</v>
      </c>
      <c r="E5" s="22" t="s">
        <v>59</v>
      </c>
      <c r="F5" s="23"/>
    </row>
    <row r="6" spans="1:12" ht="26.1" hidden="1" customHeight="1">
      <c r="A6" s="24" t="s">
        <v>55</v>
      </c>
      <c r="B6" s="31">
        <f>基本情報入力!B10</f>
        <v>7.0000000000000001E-3</v>
      </c>
      <c r="C6" s="24" t="s">
        <v>56</v>
      </c>
      <c r="D6" s="31">
        <f>基本情報入力!D10</f>
        <v>4.0000000000000001E-3</v>
      </c>
      <c r="E6" s="26" t="s">
        <v>73</v>
      </c>
      <c r="F6" s="48">
        <f>基本情報入力!B14</f>
        <v>0.1</v>
      </c>
    </row>
    <row r="7" spans="1:12" ht="26.1" hidden="1" customHeight="1">
      <c r="A7" s="24" t="s">
        <v>48</v>
      </c>
      <c r="B7" s="32">
        <f>基本情報入力!B12</f>
        <v>0</v>
      </c>
      <c r="C7" s="24" t="s">
        <v>51</v>
      </c>
      <c r="D7" s="32">
        <f>基本情報入力!D12</f>
        <v>0</v>
      </c>
      <c r="E7" s="24" t="s">
        <v>53</v>
      </c>
      <c r="F7" s="34">
        <f>C9</f>
        <v>0</v>
      </c>
    </row>
    <row r="8" spans="1:12" s="3" customFormat="1" ht="24.95" hidden="1" customHeight="1">
      <c r="A8" s="1"/>
      <c r="B8" s="6" t="s">
        <v>1</v>
      </c>
      <c r="C8" s="2">
        <f>D7</f>
        <v>0</v>
      </c>
      <c r="D8" s="6" t="s">
        <v>2</v>
      </c>
      <c r="E8" s="2" t="e">
        <f>ROUNDDOWN(C8*0.9/D5,0)</f>
        <v>#DIV/0!</v>
      </c>
      <c r="F8" s="6" t="s">
        <v>3</v>
      </c>
      <c r="G8" s="2" t="e">
        <f>C8*0.9-(E8*D5)</f>
        <v>#DIV/0!</v>
      </c>
      <c r="H8" s="2"/>
    </row>
    <row r="9" spans="1:12" s="3" customFormat="1" ht="24.95" hidden="1" customHeight="1">
      <c r="A9" s="1"/>
      <c r="B9" s="6" t="s">
        <v>4</v>
      </c>
      <c r="C9" s="2">
        <f>B7-D7</f>
        <v>0</v>
      </c>
      <c r="D9" s="6" t="s">
        <v>5</v>
      </c>
      <c r="E9" s="2" t="e">
        <f>ROUNDDOWN(C9*0.9/D5,0)</f>
        <v>#DIV/0!</v>
      </c>
      <c r="F9" s="6" t="s">
        <v>3</v>
      </c>
      <c r="G9" s="2" t="e">
        <f>C9*0.9-(E9*D5)</f>
        <v>#DIV/0!</v>
      </c>
      <c r="H9" s="2"/>
    </row>
    <row r="10" spans="1:12" ht="24.95" hidden="1" customHeight="1">
      <c r="B10" s="6"/>
      <c r="D10" s="6"/>
      <c r="F10" s="6"/>
    </row>
    <row r="11" spans="1:12" s="26" customFormat="1" ht="18" hidden="1" customHeight="1">
      <c r="A11" s="14" t="s">
        <v>35</v>
      </c>
      <c r="B11" s="8" t="s">
        <v>36</v>
      </c>
      <c r="C11" s="8" t="s">
        <v>37</v>
      </c>
      <c r="D11" s="8" t="s">
        <v>38</v>
      </c>
      <c r="E11" s="87" t="s">
        <v>10</v>
      </c>
      <c r="F11" s="8" t="s">
        <v>39</v>
      </c>
      <c r="G11" s="8" t="s">
        <v>40</v>
      </c>
      <c r="H11" s="21"/>
    </row>
    <row r="12" spans="1:12" ht="18" hidden="1" customHeight="1">
      <c r="A12" s="27">
        <v>1</v>
      </c>
      <c r="B12" s="10" t="e">
        <f>SUM(B100:B180)</f>
        <v>#DIV/0!</v>
      </c>
      <c r="C12" s="10" t="e">
        <f>ROUNDDOWN((B12+E12)*0.1,0)</f>
        <v>#DIV/0!</v>
      </c>
      <c r="D12" s="10" t="e">
        <f t="shared" ref="D12:D75" si="0">D100</f>
        <v>#DIV/0!</v>
      </c>
      <c r="E12" s="88"/>
      <c r="F12" s="10" t="e">
        <f t="shared" ref="F12:F43" si="1">SUM(B12:E12)</f>
        <v>#DIV/0!</v>
      </c>
      <c r="G12" s="10" t="e">
        <f t="shared" ref="G12:G75" si="2">ROUND(F12*D$6/12*3,-1)</f>
        <v>#DIV/0!</v>
      </c>
      <c r="H12" s="2" t="e">
        <f>$E$9+G9</f>
        <v>#DIV/0!</v>
      </c>
      <c r="I12" s="28"/>
      <c r="K12" s="78" t="e">
        <f>$F12*$D$6/12*3-$G12</f>
        <v>#DIV/0!</v>
      </c>
      <c r="L12" s="80" t="e">
        <f>ROUND(K12+K13,-1)</f>
        <v>#DIV/0!</v>
      </c>
    </row>
    <row r="13" spans="1:12" ht="18" hidden="1" customHeight="1">
      <c r="A13" s="27">
        <v>2</v>
      </c>
      <c r="B13" s="10" t="e">
        <f>SUM(B101:B180)</f>
        <v>#DIV/0!</v>
      </c>
      <c r="C13" s="10" t="e">
        <f>ROUNDDOWN((B13+E13)*0.1,0)</f>
        <v>#DIV/0!</v>
      </c>
      <c r="D13" s="10" t="e">
        <f t="shared" si="0"/>
        <v>#DIV/0!</v>
      </c>
      <c r="E13" s="88"/>
      <c r="F13" s="10" t="e">
        <f t="shared" si="1"/>
        <v>#DIV/0!</v>
      </c>
      <c r="G13" s="10" t="e">
        <f t="shared" si="2"/>
        <v>#DIV/0!</v>
      </c>
      <c r="H13" s="2" t="e">
        <f t="shared" ref="H13:H22" si="3">$E$9</f>
        <v>#DIV/0!</v>
      </c>
      <c r="K13" s="78" t="e">
        <f>$F13*$D$6/12*3-$G13</f>
        <v>#DIV/0!</v>
      </c>
    </row>
    <row r="14" spans="1:12" ht="18" hidden="1" customHeight="1">
      <c r="A14" s="27">
        <v>3</v>
      </c>
      <c r="B14" s="10" t="e">
        <f>SUM(B102:B180)</f>
        <v>#DIV/0!</v>
      </c>
      <c r="C14" s="10" t="e">
        <f t="shared" ref="C14:C77" si="4">ROUNDDOWN((B14+E14)*0.1,0)</f>
        <v>#DIV/0!</v>
      </c>
      <c r="D14" s="10" t="e">
        <f t="shared" si="0"/>
        <v>#DIV/0!</v>
      </c>
      <c r="E14" s="88"/>
      <c r="F14" s="10" t="e">
        <f t="shared" si="1"/>
        <v>#DIV/0!</v>
      </c>
      <c r="G14" s="10" t="e">
        <f t="shared" si="2"/>
        <v>#DIV/0!</v>
      </c>
      <c r="H14" s="2" t="e">
        <f t="shared" si="3"/>
        <v>#DIV/0!</v>
      </c>
    </row>
    <row r="15" spans="1:12" ht="18" hidden="1" customHeight="1">
      <c r="A15" s="27">
        <v>4</v>
      </c>
      <c r="B15" s="10">
        <f>SUM(B103:B180)</f>
        <v>0</v>
      </c>
      <c r="C15" s="10">
        <f t="shared" si="4"/>
        <v>0</v>
      </c>
      <c r="D15" s="10">
        <f t="shared" si="0"/>
        <v>0</v>
      </c>
      <c r="E15" s="88"/>
      <c r="F15" s="10">
        <f t="shared" si="1"/>
        <v>0</v>
      </c>
      <c r="G15" s="10">
        <f t="shared" si="2"/>
        <v>0</v>
      </c>
      <c r="H15" s="2" t="e">
        <f t="shared" si="3"/>
        <v>#DIV/0!</v>
      </c>
    </row>
    <row r="16" spans="1:12" ht="18" hidden="1" customHeight="1">
      <c r="A16" s="27">
        <v>5</v>
      </c>
      <c r="B16" s="10">
        <f>SUM(B104:B180)</f>
        <v>0</v>
      </c>
      <c r="C16" s="10">
        <f t="shared" si="4"/>
        <v>0</v>
      </c>
      <c r="D16" s="10">
        <f t="shared" si="0"/>
        <v>0</v>
      </c>
      <c r="E16" s="88"/>
      <c r="F16" s="10">
        <f t="shared" si="1"/>
        <v>0</v>
      </c>
      <c r="G16" s="10">
        <f t="shared" si="2"/>
        <v>0</v>
      </c>
      <c r="H16" s="2" t="e">
        <f t="shared" si="3"/>
        <v>#DIV/0!</v>
      </c>
      <c r="I16" s="5"/>
    </row>
    <row r="17" spans="1:8" ht="18" hidden="1" customHeight="1">
      <c r="A17" s="27">
        <v>6</v>
      </c>
      <c r="B17" s="10">
        <f>SUM(B105:B180)</f>
        <v>0</v>
      </c>
      <c r="C17" s="10">
        <f t="shared" si="4"/>
        <v>0</v>
      </c>
      <c r="D17" s="10">
        <f t="shared" si="0"/>
        <v>0</v>
      </c>
      <c r="E17" s="88"/>
      <c r="F17" s="10">
        <f t="shared" si="1"/>
        <v>0</v>
      </c>
      <c r="G17" s="10">
        <f t="shared" si="2"/>
        <v>0</v>
      </c>
      <c r="H17" s="2" t="e">
        <f t="shared" si="3"/>
        <v>#DIV/0!</v>
      </c>
    </row>
    <row r="18" spans="1:8" ht="18" hidden="1" customHeight="1">
      <c r="A18" s="27">
        <v>7</v>
      </c>
      <c r="B18" s="10">
        <f>SUM(B106:B180)</f>
        <v>0</v>
      </c>
      <c r="C18" s="10">
        <f t="shared" si="4"/>
        <v>0</v>
      </c>
      <c r="D18" s="10">
        <f t="shared" si="0"/>
        <v>0</v>
      </c>
      <c r="E18" s="88"/>
      <c r="F18" s="10">
        <f t="shared" si="1"/>
        <v>0</v>
      </c>
      <c r="G18" s="10">
        <f t="shared" si="2"/>
        <v>0</v>
      </c>
      <c r="H18" s="2" t="e">
        <f t="shared" si="3"/>
        <v>#DIV/0!</v>
      </c>
    </row>
    <row r="19" spans="1:8" ht="18" hidden="1" customHeight="1">
      <c r="A19" s="27">
        <v>8</v>
      </c>
      <c r="B19" s="10">
        <f>SUM(B107:B180)</f>
        <v>0</v>
      </c>
      <c r="C19" s="10">
        <f t="shared" si="4"/>
        <v>0</v>
      </c>
      <c r="D19" s="10">
        <f t="shared" si="0"/>
        <v>0</v>
      </c>
      <c r="E19" s="88"/>
      <c r="F19" s="10">
        <f t="shared" si="1"/>
        <v>0</v>
      </c>
      <c r="G19" s="10">
        <f t="shared" si="2"/>
        <v>0</v>
      </c>
      <c r="H19" s="2" t="e">
        <f t="shared" si="3"/>
        <v>#DIV/0!</v>
      </c>
    </row>
    <row r="20" spans="1:8" ht="18" hidden="1" customHeight="1">
      <c r="A20" s="27">
        <v>9</v>
      </c>
      <c r="B20" s="10">
        <f>SUM(B108:B180)</f>
        <v>0</v>
      </c>
      <c r="C20" s="10">
        <f t="shared" si="4"/>
        <v>0</v>
      </c>
      <c r="D20" s="10">
        <f t="shared" si="0"/>
        <v>0</v>
      </c>
      <c r="E20" s="88"/>
      <c r="F20" s="10">
        <f t="shared" si="1"/>
        <v>0</v>
      </c>
      <c r="G20" s="10">
        <f t="shared" si="2"/>
        <v>0</v>
      </c>
      <c r="H20" s="2" t="e">
        <f t="shared" si="3"/>
        <v>#DIV/0!</v>
      </c>
    </row>
    <row r="21" spans="1:8" ht="18" hidden="1" customHeight="1">
      <c r="A21" s="27">
        <v>10</v>
      </c>
      <c r="B21" s="10">
        <f>SUM(B109:B180)</f>
        <v>0</v>
      </c>
      <c r="C21" s="10">
        <f t="shared" si="4"/>
        <v>0</v>
      </c>
      <c r="D21" s="10">
        <f t="shared" si="0"/>
        <v>0</v>
      </c>
      <c r="E21" s="88"/>
      <c r="F21" s="10">
        <f t="shared" si="1"/>
        <v>0</v>
      </c>
      <c r="G21" s="10">
        <f t="shared" si="2"/>
        <v>0</v>
      </c>
      <c r="H21" s="2" t="e">
        <f t="shared" si="3"/>
        <v>#DIV/0!</v>
      </c>
    </row>
    <row r="22" spans="1:8" ht="18" hidden="1" customHeight="1">
      <c r="A22" s="27">
        <v>11</v>
      </c>
      <c r="B22" s="10">
        <f>SUM(B110:B180)</f>
        <v>0</v>
      </c>
      <c r="C22" s="10">
        <f t="shared" si="4"/>
        <v>0</v>
      </c>
      <c r="D22" s="10">
        <f t="shared" si="0"/>
        <v>0</v>
      </c>
      <c r="E22" s="88"/>
      <c r="F22" s="10">
        <f t="shared" si="1"/>
        <v>0</v>
      </c>
      <c r="G22" s="10">
        <f t="shared" si="2"/>
        <v>0</v>
      </c>
      <c r="H22" s="2" t="e">
        <f t="shared" si="3"/>
        <v>#DIV/0!</v>
      </c>
    </row>
    <row r="23" spans="1:8" ht="18" hidden="1" customHeight="1">
      <c r="A23" s="27">
        <v>12</v>
      </c>
      <c r="B23" s="10">
        <f>SUM(B111:B180)</f>
        <v>0</v>
      </c>
      <c r="C23" s="10">
        <f t="shared" si="4"/>
        <v>0</v>
      </c>
      <c r="D23" s="10">
        <f t="shared" si="0"/>
        <v>0</v>
      </c>
      <c r="E23" s="88"/>
      <c r="F23" s="10">
        <f t="shared" si="1"/>
        <v>0</v>
      </c>
      <c r="G23" s="10">
        <f t="shared" si="2"/>
        <v>0</v>
      </c>
      <c r="H23" s="2">
        <f t="shared" ref="H23:H86" si="5">IF($D$5&lt;A23,0,$E$9)</f>
        <v>0</v>
      </c>
    </row>
    <row r="24" spans="1:8" ht="18" hidden="1" customHeight="1">
      <c r="A24" s="27">
        <v>13</v>
      </c>
      <c r="B24" s="10">
        <f>IF($D$5&lt;A24,0,SUM(B112:B$180))</f>
        <v>0</v>
      </c>
      <c r="C24" s="10">
        <f t="shared" si="4"/>
        <v>0</v>
      </c>
      <c r="D24" s="10">
        <f t="shared" si="0"/>
        <v>0</v>
      </c>
      <c r="E24" s="88"/>
      <c r="F24" s="10">
        <f t="shared" si="1"/>
        <v>0</v>
      </c>
      <c r="G24" s="10">
        <f t="shared" si="2"/>
        <v>0</v>
      </c>
      <c r="H24" s="2">
        <f t="shared" si="5"/>
        <v>0</v>
      </c>
    </row>
    <row r="25" spans="1:8" ht="18" hidden="1" customHeight="1">
      <c r="A25" s="27">
        <v>14</v>
      </c>
      <c r="B25" s="10">
        <f>IF($D$5&lt;A25,0,SUM(B113:B$180))</f>
        <v>0</v>
      </c>
      <c r="C25" s="10">
        <f t="shared" si="4"/>
        <v>0</v>
      </c>
      <c r="D25" s="10">
        <f t="shared" si="0"/>
        <v>0</v>
      </c>
      <c r="E25" s="88"/>
      <c r="F25" s="10">
        <f t="shared" si="1"/>
        <v>0</v>
      </c>
      <c r="G25" s="10">
        <f t="shared" si="2"/>
        <v>0</v>
      </c>
      <c r="H25" s="2">
        <f t="shared" si="5"/>
        <v>0</v>
      </c>
    </row>
    <row r="26" spans="1:8" ht="18" hidden="1" customHeight="1">
      <c r="A26" s="27">
        <v>15</v>
      </c>
      <c r="B26" s="10">
        <f>IF($D$5&lt;A26,0,SUM(B114:B$180))</f>
        <v>0</v>
      </c>
      <c r="C26" s="10">
        <f t="shared" si="4"/>
        <v>0</v>
      </c>
      <c r="D26" s="10">
        <f t="shared" si="0"/>
        <v>0</v>
      </c>
      <c r="E26" s="88"/>
      <c r="F26" s="10">
        <f t="shared" si="1"/>
        <v>0</v>
      </c>
      <c r="G26" s="10">
        <f t="shared" si="2"/>
        <v>0</v>
      </c>
      <c r="H26" s="2">
        <f t="shared" si="5"/>
        <v>0</v>
      </c>
    </row>
    <row r="27" spans="1:8" ht="18" hidden="1" customHeight="1">
      <c r="A27" s="27">
        <v>16</v>
      </c>
      <c r="B27" s="10">
        <f>IF($D$5&lt;A27,0,SUM(B115:B$180))</f>
        <v>0</v>
      </c>
      <c r="C27" s="10">
        <f t="shared" si="4"/>
        <v>0</v>
      </c>
      <c r="D27" s="10">
        <f t="shared" si="0"/>
        <v>0</v>
      </c>
      <c r="E27" s="88"/>
      <c r="F27" s="10">
        <f t="shared" si="1"/>
        <v>0</v>
      </c>
      <c r="G27" s="10">
        <f t="shared" si="2"/>
        <v>0</v>
      </c>
      <c r="H27" s="2">
        <f t="shared" si="5"/>
        <v>0</v>
      </c>
    </row>
    <row r="28" spans="1:8" ht="18" hidden="1" customHeight="1">
      <c r="A28" s="27">
        <v>17</v>
      </c>
      <c r="B28" s="10">
        <f>IF($D$5&lt;A28,0,SUM(B116:B$180))</f>
        <v>0</v>
      </c>
      <c r="C28" s="10">
        <f t="shared" si="4"/>
        <v>0</v>
      </c>
      <c r="D28" s="10">
        <f t="shared" si="0"/>
        <v>0</v>
      </c>
      <c r="E28" s="88"/>
      <c r="F28" s="10">
        <f t="shared" si="1"/>
        <v>0</v>
      </c>
      <c r="G28" s="10">
        <f t="shared" si="2"/>
        <v>0</v>
      </c>
      <c r="H28" s="2">
        <f t="shared" si="5"/>
        <v>0</v>
      </c>
    </row>
    <row r="29" spans="1:8" ht="18" hidden="1" customHeight="1">
      <c r="A29" s="27">
        <v>18</v>
      </c>
      <c r="B29" s="10">
        <f>IF($D$5&lt;A29,0,SUM(B117:B$180))</f>
        <v>0</v>
      </c>
      <c r="C29" s="10">
        <f t="shared" si="4"/>
        <v>0</v>
      </c>
      <c r="D29" s="10">
        <f t="shared" si="0"/>
        <v>0</v>
      </c>
      <c r="E29" s="88"/>
      <c r="F29" s="10">
        <f t="shared" si="1"/>
        <v>0</v>
      </c>
      <c r="G29" s="10">
        <f t="shared" si="2"/>
        <v>0</v>
      </c>
      <c r="H29" s="2">
        <f t="shared" si="5"/>
        <v>0</v>
      </c>
    </row>
    <row r="30" spans="1:8" ht="18" hidden="1" customHeight="1">
      <c r="A30" s="27">
        <v>19</v>
      </c>
      <c r="B30" s="10">
        <f>IF($D$5&lt;A30,0,SUM(B118:B$180))</f>
        <v>0</v>
      </c>
      <c r="C30" s="10">
        <f t="shared" si="4"/>
        <v>0</v>
      </c>
      <c r="D30" s="10">
        <f t="shared" si="0"/>
        <v>0</v>
      </c>
      <c r="E30" s="88"/>
      <c r="F30" s="10">
        <f t="shared" si="1"/>
        <v>0</v>
      </c>
      <c r="G30" s="10">
        <f t="shared" si="2"/>
        <v>0</v>
      </c>
      <c r="H30" s="2">
        <f t="shared" si="5"/>
        <v>0</v>
      </c>
    </row>
    <row r="31" spans="1:8" ht="18" hidden="1" customHeight="1">
      <c r="A31" s="27">
        <v>20</v>
      </c>
      <c r="B31" s="10">
        <f>IF($D$5&lt;A31,0,SUM(B119:B$180))</f>
        <v>0</v>
      </c>
      <c r="C31" s="10">
        <f t="shared" si="4"/>
        <v>0</v>
      </c>
      <c r="D31" s="10">
        <f t="shared" si="0"/>
        <v>0</v>
      </c>
      <c r="E31" s="88"/>
      <c r="F31" s="10">
        <f t="shared" si="1"/>
        <v>0</v>
      </c>
      <c r="G31" s="10">
        <f t="shared" si="2"/>
        <v>0</v>
      </c>
      <c r="H31" s="2">
        <f t="shared" si="5"/>
        <v>0</v>
      </c>
    </row>
    <row r="32" spans="1:8" ht="18" hidden="1" customHeight="1">
      <c r="A32" s="27">
        <v>21</v>
      </c>
      <c r="B32" s="10">
        <f>IF($D$5&lt;A32,0,SUM(B120:B$180))</f>
        <v>0</v>
      </c>
      <c r="C32" s="10">
        <f t="shared" si="4"/>
        <v>0</v>
      </c>
      <c r="D32" s="10">
        <f t="shared" si="0"/>
        <v>0</v>
      </c>
      <c r="E32" s="88"/>
      <c r="F32" s="10">
        <f t="shared" si="1"/>
        <v>0</v>
      </c>
      <c r="G32" s="10">
        <f t="shared" si="2"/>
        <v>0</v>
      </c>
      <c r="H32" s="2">
        <f t="shared" si="5"/>
        <v>0</v>
      </c>
    </row>
    <row r="33" spans="1:8" ht="18" hidden="1" customHeight="1">
      <c r="A33" s="27">
        <v>22</v>
      </c>
      <c r="B33" s="10">
        <f>IF($D$5&lt;A33,0,SUM(B121:B$180))</f>
        <v>0</v>
      </c>
      <c r="C33" s="10">
        <f t="shared" si="4"/>
        <v>0</v>
      </c>
      <c r="D33" s="10">
        <f t="shared" si="0"/>
        <v>0</v>
      </c>
      <c r="E33" s="88"/>
      <c r="F33" s="10">
        <f t="shared" si="1"/>
        <v>0</v>
      </c>
      <c r="G33" s="10">
        <f t="shared" si="2"/>
        <v>0</v>
      </c>
      <c r="H33" s="2">
        <f t="shared" si="5"/>
        <v>0</v>
      </c>
    </row>
    <row r="34" spans="1:8" ht="18" hidden="1" customHeight="1">
      <c r="A34" s="27">
        <v>23</v>
      </c>
      <c r="B34" s="10">
        <f>IF($D$5&lt;A34,0,SUM(B122:B$180))</f>
        <v>0</v>
      </c>
      <c r="C34" s="10">
        <f t="shared" si="4"/>
        <v>0</v>
      </c>
      <c r="D34" s="10">
        <f t="shared" si="0"/>
        <v>0</v>
      </c>
      <c r="E34" s="88"/>
      <c r="F34" s="10">
        <f t="shared" si="1"/>
        <v>0</v>
      </c>
      <c r="G34" s="10">
        <f t="shared" si="2"/>
        <v>0</v>
      </c>
      <c r="H34" s="2">
        <f t="shared" si="5"/>
        <v>0</v>
      </c>
    </row>
    <row r="35" spans="1:8" ht="18" hidden="1" customHeight="1">
      <c r="A35" s="27">
        <v>24</v>
      </c>
      <c r="B35" s="10">
        <f>IF($D$5&lt;A35,0,SUM(B123:B$180))</f>
        <v>0</v>
      </c>
      <c r="C35" s="10">
        <f t="shared" si="4"/>
        <v>0</v>
      </c>
      <c r="D35" s="10">
        <f t="shared" si="0"/>
        <v>0</v>
      </c>
      <c r="E35" s="88"/>
      <c r="F35" s="10">
        <f t="shared" si="1"/>
        <v>0</v>
      </c>
      <c r="G35" s="10">
        <f t="shared" si="2"/>
        <v>0</v>
      </c>
      <c r="H35" s="2">
        <f t="shared" si="5"/>
        <v>0</v>
      </c>
    </row>
    <row r="36" spans="1:8" ht="18" hidden="1" customHeight="1">
      <c r="A36" s="27">
        <v>25</v>
      </c>
      <c r="B36" s="10">
        <f>IF($D$5&lt;A36,0,SUM(B124:B$180))</f>
        <v>0</v>
      </c>
      <c r="C36" s="10">
        <f t="shared" si="4"/>
        <v>0</v>
      </c>
      <c r="D36" s="10">
        <f t="shared" si="0"/>
        <v>0</v>
      </c>
      <c r="E36" s="88"/>
      <c r="F36" s="10">
        <f t="shared" si="1"/>
        <v>0</v>
      </c>
      <c r="G36" s="10">
        <f t="shared" si="2"/>
        <v>0</v>
      </c>
      <c r="H36" s="2">
        <f t="shared" si="5"/>
        <v>0</v>
      </c>
    </row>
    <row r="37" spans="1:8" ht="18" hidden="1" customHeight="1">
      <c r="A37" s="27">
        <v>26</v>
      </c>
      <c r="B37" s="10">
        <f>IF($D$5&lt;A37,0,SUM(B125:B$180))</f>
        <v>0</v>
      </c>
      <c r="C37" s="10">
        <f t="shared" si="4"/>
        <v>0</v>
      </c>
      <c r="D37" s="10">
        <f t="shared" si="0"/>
        <v>0</v>
      </c>
      <c r="E37" s="88"/>
      <c r="F37" s="10">
        <f t="shared" si="1"/>
        <v>0</v>
      </c>
      <c r="G37" s="10">
        <f t="shared" si="2"/>
        <v>0</v>
      </c>
      <c r="H37" s="2">
        <f t="shared" si="5"/>
        <v>0</v>
      </c>
    </row>
    <row r="38" spans="1:8" ht="18" hidden="1" customHeight="1">
      <c r="A38" s="27">
        <v>27</v>
      </c>
      <c r="B38" s="10">
        <f>IF($D$5&lt;A38,0,SUM(B126:B$180))</f>
        <v>0</v>
      </c>
      <c r="C38" s="10">
        <f t="shared" si="4"/>
        <v>0</v>
      </c>
      <c r="D38" s="10">
        <f t="shared" si="0"/>
        <v>0</v>
      </c>
      <c r="E38" s="88"/>
      <c r="F38" s="10">
        <f t="shared" si="1"/>
        <v>0</v>
      </c>
      <c r="G38" s="10">
        <f t="shared" si="2"/>
        <v>0</v>
      </c>
      <c r="H38" s="2">
        <f t="shared" si="5"/>
        <v>0</v>
      </c>
    </row>
    <row r="39" spans="1:8" ht="18" hidden="1" customHeight="1">
      <c r="A39" s="27">
        <v>28</v>
      </c>
      <c r="B39" s="10">
        <f>IF($D$5&lt;A39,0,SUM(B127:B$180))</f>
        <v>0</v>
      </c>
      <c r="C39" s="10">
        <f t="shared" si="4"/>
        <v>0</v>
      </c>
      <c r="D39" s="10">
        <f t="shared" si="0"/>
        <v>0</v>
      </c>
      <c r="E39" s="88"/>
      <c r="F39" s="10">
        <f t="shared" si="1"/>
        <v>0</v>
      </c>
      <c r="G39" s="10">
        <f t="shared" si="2"/>
        <v>0</v>
      </c>
      <c r="H39" s="2">
        <f t="shared" si="5"/>
        <v>0</v>
      </c>
    </row>
    <row r="40" spans="1:8" ht="18" hidden="1" customHeight="1">
      <c r="A40" s="27">
        <v>29</v>
      </c>
      <c r="B40" s="10">
        <f>IF($D$5&lt;A40,0,SUM(B128:B$180))</f>
        <v>0</v>
      </c>
      <c r="C40" s="10">
        <f t="shared" si="4"/>
        <v>0</v>
      </c>
      <c r="D40" s="10">
        <f t="shared" si="0"/>
        <v>0</v>
      </c>
      <c r="E40" s="88"/>
      <c r="F40" s="10">
        <f t="shared" si="1"/>
        <v>0</v>
      </c>
      <c r="G40" s="10">
        <f t="shared" si="2"/>
        <v>0</v>
      </c>
      <c r="H40" s="2">
        <f t="shared" si="5"/>
        <v>0</v>
      </c>
    </row>
    <row r="41" spans="1:8" ht="18" hidden="1" customHeight="1">
      <c r="A41" s="27">
        <v>30</v>
      </c>
      <c r="B41" s="10">
        <f>IF($D$5&lt;A41,0,SUM(B129:B$180))</f>
        <v>0</v>
      </c>
      <c r="C41" s="10">
        <f t="shared" si="4"/>
        <v>0</v>
      </c>
      <c r="D41" s="10">
        <f t="shared" si="0"/>
        <v>0</v>
      </c>
      <c r="E41" s="88"/>
      <c r="F41" s="10">
        <f t="shared" si="1"/>
        <v>0</v>
      </c>
      <c r="G41" s="10">
        <f t="shared" si="2"/>
        <v>0</v>
      </c>
      <c r="H41" s="2">
        <f t="shared" si="5"/>
        <v>0</v>
      </c>
    </row>
    <row r="42" spans="1:8" ht="18" hidden="1" customHeight="1">
      <c r="A42" s="27">
        <v>31</v>
      </c>
      <c r="B42" s="10">
        <f>IF($D$5&lt;A42,0,SUM(B130:B$180))</f>
        <v>0</v>
      </c>
      <c r="C42" s="10">
        <f t="shared" si="4"/>
        <v>0</v>
      </c>
      <c r="D42" s="10">
        <f t="shared" si="0"/>
        <v>0</v>
      </c>
      <c r="E42" s="88"/>
      <c r="F42" s="10">
        <f t="shared" si="1"/>
        <v>0</v>
      </c>
      <c r="G42" s="10">
        <f t="shared" si="2"/>
        <v>0</v>
      </c>
      <c r="H42" s="2">
        <f t="shared" si="5"/>
        <v>0</v>
      </c>
    </row>
    <row r="43" spans="1:8" ht="18" hidden="1" customHeight="1">
      <c r="A43" s="27">
        <v>32</v>
      </c>
      <c r="B43" s="10">
        <f>IF($D$5&lt;A43,0,SUM(B131:B$180))</f>
        <v>0</v>
      </c>
      <c r="C43" s="10">
        <f t="shared" si="4"/>
        <v>0</v>
      </c>
      <c r="D43" s="10">
        <f t="shared" si="0"/>
        <v>0</v>
      </c>
      <c r="E43" s="88"/>
      <c r="F43" s="10">
        <f t="shared" si="1"/>
        <v>0</v>
      </c>
      <c r="G43" s="10">
        <f t="shared" si="2"/>
        <v>0</v>
      </c>
      <c r="H43" s="2">
        <f t="shared" si="5"/>
        <v>0</v>
      </c>
    </row>
    <row r="44" spans="1:8" ht="18" hidden="1" customHeight="1">
      <c r="A44" s="27">
        <v>33</v>
      </c>
      <c r="B44" s="10">
        <f>IF($D$5&lt;A44,0,SUM(B132:B$180))</f>
        <v>0</v>
      </c>
      <c r="C44" s="10">
        <f t="shared" si="4"/>
        <v>0</v>
      </c>
      <c r="D44" s="10">
        <f t="shared" si="0"/>
        <v>0</v>
      </c>
      <c r="E44" s="88"/>
      <c r="F44" s="10">
        <f t="shared" ref="F44:F92" si="6">SUM(B44:E44)</f>
        <v>0</v>
      </c>
      <c r="G44" s="10">
        <f t="shared" si="2"/>
        <v>0</v>
      </c>
      <c r="H44" s="2">
        <f t="shared" si="5"/>
        <v>0</v>
      </c>
    </row>
    <row r="45" spans="1:8" ht="18" hidden="1" customHeight="1">
      <c r="A45" s="27">
        <v>34</v>
      </c>
      <c r="B45" s="10">
        <f>IF($D$5&lt;A45,0,SUM(B133:B$180))</f>
        <v>0</v>
      </c>
      <c r="C45" s="10">
        <f t="shared" si="4"/>
        <v>0</v>
      </c>
      <c r="D45" s="10">
        <f t="shared" si="0"/>
        <v>0</v>
      </c>
      <c r="E45" s="88"/>
      <c r="F45" s="10">
        <f t="shared" si="6"/>
        <v>0</v>
      </c>
      <c r="G45" s="10">
        <f t="shared" si="2"/>
        <v>0</v>
      </c>
      <c r="H45" s="2">
        <f t="shared" si="5"/>
        <v>0</v>
      </c>
    </row>
    <row r="46" spans="1:8" ht="18" hidden="1" customHeight="1">
      <c r="A46" s="27">
        <v>35</v>
      </c>
      <c r="B46" s="10">
        <f>IF($D$5&lt;A46,0,SUM(B134:B$180))</f>
        <v>0</v>
      </c>
      <c r="C46" s="10">
        <f t="shared" si="4"/>
        <v>0</v>
      </c>
      <c r="D46" s="10">
        <f t="shared" si="0"/>
        <v>0</v>
      </c>
      <c r="E46" s="88"/>
      <c r="F46" s="10">
        <f t="shared" si="6"/>
        <v>0</v>
      </c>
      <c r="G46" s="10">
        <f t="shared" si="2"/>
        <v>0</v>
      </c>
      <c r="H46" s="2">
        <f t="shared" si="5"/>
        <v>0</v>
      </c>
    </row>
    <row r="47" spans="1:8" ht="18" hidden="1" customHeight="1">
      <c r="A47" s="27">
        <v>36</v>
      </c>
      <c r="B47" s="10">
        <f>IF($D$5&lt;A47,0,SUM(B135:B$180))</f>
        <v>0</v>
      </c>
      <c r="C47" s="10">
        <f t="shared" si="4"/>
        <v>0</v>
      </c>
      <c r="D47" s="10">
        <f t="shared" si="0"/>
        <v>0</v>
      </c>
      <c r="E47" s="88"/>
      <c r="F47" s="10">
        <f t="shared" si="6"/>
        <v>0</v>
      </c>
      <c r="G47" s="10">
        <f t="shared" si="2"/>
        <v>0</v>
      </c>
      <c r="H47" s="2">
        <f t="shared" si="5"/>
        <v>0</v>
      </c>
    </row>
    <row r="48" spans="1:8" ht="18" hidden="1" customHeight="1">
      <c r="A48" s="27">
        <v>37</v>
      </c>
      <c r="B48" s="10">
        <f>IF($D$5&lt;A48,0,SUM(B136:B$180))</f>
        <v>0</v>
      </c>
      <c r="C48" s="10">
        <f t="shared" si="4"/>
        <v>0</v>
      </c>
      <c r="D48" s="10">
        <f t="shared" si="0"/>
        <v>0</v>
      </c>
      <c r="E48" s="88"/>
      <c r="F48" s="10">
        <f t="shared" si="6"/>
        <v>0</v>
      </c>
      <c r="G48" s="10">
        <f t="shared" si="2"/>
        <v>0</v>
      </c>
      <c r="H48" s="2">
        <f t="shared" si="5"/>
        <v>0</v>
      </c>
    </row>
    <row r="49" spans="1:8" ht="18" hidden="1" customHeight="1">
      <c r="A49" s="27">
        <v>38</v>
      </c>
      <c r="B49" s="10">
        <f>IF($D$5&lt;A49,0,SUM(B137:B$180))</f>
        <v>0</v>
      </c>
      <c r="C49" s="10">
        <f t="shared" si="4"/>
        <v>0</v>
      </c>
      <c r="D49" s="10">
        <f t="shared" si="0"/>
        <v>0</v>
      </c>
      <c r="E49" s="88"/>
      <c r="F49" s="10">
        <f t="shared" si="6"/>
        <v>0</v>
      </c>
      <c r="G49" s="10">
        <f t="shared" si="2"/>
        <v>0</v>
      </c>
      <c r="H49" s="2">
        <f t="shared" si="5"/>
        <v>0</v>
      </c>
    </row>
    <row r="50" spans="1:8" ht="18" hidden="1" customHeight="1">
      <c r="A50" s="27">
        <v>39</v>
      </c>
      <c r="B50" s="10">
        <f>IF($D$5&lt;A50,0,SUM(B138:B$180))</f>
        <v>0</v>
      </c>
      <c r="C50" s="10">
        <f t="shared" si="4"/>
        <v>0</v>
      </c>
      <c r="D50" s="10">
        <f t="shared" si="0"/>
        <v>0</v>
      </c>
      <c r="E50" s="88"/>
      <c r="F50" s="10">
        <f t="shared" si="6"/>
        <v>0</v>
      </c>
      <c r="G50" s="10">
        <f t="shared" si="2"/>
        <v>0</v>
      </c>
      <c r="H50" s="2">
        <f t="shared" si="5"/>
        <v>0</v>
      </c>
    </row>
    <row r="51" spans="1:8" ht="18" hidden="1" customHeight="1">
      <c r="A51" s="27">
        <v>40</v>
      </c>
      <c r="B51" s="10">
        <f>IF($D$5&lt;A51,0,SUM(B139:B$180))</f>
        <v>0</v>
      </c>
      <c r="C51" s="10">
        <f t="shared" si="4"/>
        <v>0</v>
      </c>
      <c r="D51" s="10">
        <f t="shared" si="0"/>
        <v>0</v>
      </c>
      <c r="E51" s="88"/>
      <c r="F51" s="10">
        <f t="shared" si="6"/>
        <v>0</v>
      </c>
      <c r="G51" s="10">
        <f t="shared" si="2"/>
        <v>0</v>
      </c>
      <c r="H51" s="2">
        <f t="shared" si="5"/>
        <v>0</v>
      </c>
    </row>
    <row r="52" spans="1:8" ht="18" hidden="1" customHeight="1">
      <c r="A52" s="27">
        <v>41</v>
      </c>
      <c r="B52" s="10">
        <f>IF($D$5&lt;A52,0,SUM(B140:B$180))</f>
        <v>0</v>
      </c>
      <c r="C52" s="10">
        <f t="shared" si="4"/>
        <v>0</v>
      </c>
      <c r="D52" s="10">
        <f t="shared" si="0"/>
        <v>0</v>
      </c>
      <c r="E52" s="88"/>
      <c r="F52" s="10">
        <f t="shared" si="6"/>
        <v>0</v>
      </c>
      <c r="G52" s="10">
        <f t="shared" si="2"/>
        <v>0</v>
      </c>
      <c r="H52" s="2">
        <f t="shared" si="5"/>
        <v>0</v>
      </c>
    </row>
    <row r="53" spans="1:8" ht="18" hidden="1" customHeight="1">
      <c r="A53" s="27">
        <v>42</v>
      </c>
      <c r="B53" s="10">
        <f>IF($D$5&lt;A53,0,SUM(B141:B$180))</f>
        <v>0</v>
      </c>
      <c r="C53" s="10">
        <f t="shared" si="4"/>
        <v>0</v>
      </c>
      <c r="D53" s="10">
        <f t="shared" si="0"/>
        <v>0</v>
      </c>
      <c r="E53" s="88"/>
      <c r="F53" s="10">
        <f t="shared" si="6"/>
        <v>0</v>
      </c>
      <c r="G53" s="10">
        <f t="shared" si="2"/>
        <v>0</v>
      </c>
      <c r="H53" s="2">
        <f t="shared" si="5"/>
        <v>0</v>
      </c>
    </row>
    <row r="54" spans="1:8" ht="18" hidden="1" customHeight="1">
      <c r="A54" s="27">
        <v>43</v>
      </c>
      <c r="B54" s="10">
        <f>IF($D$5&lt;A54,0,SUM(B142:B$180))</f>
        <v>0</v>
      </c>
      <c r="C54" s="10">
        <f t="shared" si="4"/>
        <v>0</v>
      </c>
      <c r="D54" s="10">
        <f t="shared" si="0"/>
        <v>0</v>
      </c>
      <c r="E54" s="88"/>
      <c r="F54" s="10">
        <f t="shared" si="6"/>
        <v>0</v>
      </c>
      <c r="G54" s="10">
        <f t="shared" si="2"/>
        <v>0</v>
      </c>
      <c r="H54" s="2">
        <f t="shared" si="5"/>
        <v>0</v>
      </c>
    </row>
    <row r="55" spans="1:8" ht="18" hidden="1" customHeight="1">
      <c r="A55" s="27">
        <v>44</v>
      </c>
      <c r="B55" s="10">
        <f>IF($D$5&lt;A55,0,SUM(B143:B$180))</f>
        <v>0</v>
      </c>
      <c r="C55" s="10">
        <f t="shared" si="4"/>
        <v>0</v>
      </c>
      <c r="D55" s="10">
        <f t="shared" si="0"/>
        <v>0</v>
      </c>
      <c r="E55" s="88"/>
      <c r="F55" s="10">
        <f t="shared" si="6"/>
        <v>0</v>
      </c>
      <c r="G55" s="10">
        <f t="shared" si="2"/>
        <v>0</v>
      </c>
      <c r="H55" s="2">
        <f t="shared" si="5"/>
        <v>0</v>
      </c>
    </row>
    <row r="56" spans="1:8" ht="18" hidden="1" customHeight="1">
      <c r="A56" s="27">
        <v>45</v>
      </c>
      <c r="B56" s="10">
        <f>IF($D$5&lt;A56,0,SUM(B144:B$180))</f>
        <v>0</v>
      </c>
      <c r="C56" s="10">
        <f t="shared" si="4"/>
        <v>0</v>
      </c>
      <c r="D56" s="10">
        <f t="shared" si="0"/>
        <v>0</v>
      </c>
      <c r="E56" s="88"/>
      <c r="F56" s="10">
        <f t="shared" si="6"/>
        <v>0</v>
      </c>
      <c r="G56" s="10">
        <f t="shared" si="2"/>
        <v>0</v>
      </c>
      <c r="H56" s="2">
        <f t="shared" si="5"/>
        <v>0</v>
      </c>
    </row>
    <row r="57" spans="1:8" ht="18" hidden="1" customHeight="1">
      <c r="A57" s="27">
        <v>46</v>
      </c>
      <c r="B57" s="10">
        <f>IF($D$5&lt;A57,0,SUM(B145:B$180))</f>
        <v>0</v>
      </c>
      <c r="C57" s="10">
        <f t="shared" si="4"/>
        <v>0</v>
      </c>
      <c r="D57" s="10">
        <f t="shared" si="0"/>
        <v>0</v>
      </c>
      <c r="E57" s="88"/>
      <c r="F57" s="10">
        <f t="shared" si="6"/>
        <v>0</v>
      </c>
      <c r="G57" s="10">
        <f t="shared" si="2"/>
        <v>0</v>
      </c>
      <c r="H57" s="2">
        <f t="shared" si="5"/>
        <v>0</v>
      </c>
    </row>
    <row r="58" spans="1:8" ht="18" hidden="1" customHeight="1">
      <c r="A58" s="27">
        <v>47</v>
      </c>
      <c r="B58" s="10">
        <f>IF($D$5&lt;A58,0,SUM(B146:B$180))</f>
        <v>0</v>
      </c>
      <c r="C58" s="10">
        <f t="shared" si="4"/>
        <v>0</v>
      </c>
      <c r="D58" s="10">
        <f t="shared" si="0"/>
        <v>0</v>
      </c>
      <c r="E58" s="88"/>
      <c r="F58" s="10">
        <f t="shared" si="6"/>
        <v>0</v>
      </c>
      <c r="G58" s="10">
        <f t="shared" si="2"/>
        <v>0</v>
      </c>
      <c r="H58" s="2">
        <f t="shared" si="5"/>
        <v>0</v>
      </c>
    </row>
    <row r="59" spans="1:8" ht="18" hidden="1" customHeight="1">
      <c r="A59" s="27">
        <v>48</v>
      </c>
      <c r="B59" s="10">
        <f>IF($D$5&lt;A59,0,SUM(B147:B$180))</f>
        <v>0</v>
      </c>
      <c r="C59" s="10">
        <f t="shared" si="4"/>
        <v>0</v>
      </c>
      <c r="D59" s="10">
        <f t="shared" si="0"/>
        <v>0</v>
      </c>
      <c r="E59" s="88"/>
      <c r="F59" s="10">
        <f t="shared" si="6"/>
        <v>0</v>
      </c>
      <c r="G59" s="10">
        <f t="shared" si="2"/>
        <v>0</v>
      </c>
      <c r="H59" s="2">
        <f t="shared" si="5"/>
        <v>0</v>
      </c>
    </row>
    <row r="60" spans="1:8" ht="18" hidden="1" customHeight="1">
      <c r="A60" s="27">
        <v>49</v>
      </c>
      <c r="B60" s="10">
        <f>IF($D$5&lt;A60,0,SUM(B148:B$180))</f>
        <v>0</v>
      </c>
      <c r="C60" s="10">
        <f t="shared" si="4"/>
        <v>0</v>
      </c>
      <c r="D60" s="10">
        <f t="shared" si="0"/>
        <v>0</v>
      </c>
      <c r="E60" s="88"/>
      <c r="F60" s="10">
        <f t="shared" si="6"/>
        <v>0</v>
      </c>
      <c r="G60" s="10">
        <f t="shared" si="2"/>
        <v>0</v>
      </c>
      <c r="H60" s="2">
        <f t="shared" si="5"/>
        <v>0</v>
      </c>
    </row>
    <row r="61" spans="1:8" ht="18" hidden="1" customHeight="1">
      <c r="A61" s="27">
        <v>50</v>
      </c>
      <c r="B61" s="10">
        <f>IF($D$5&lt;A61,0,SUM(B149:B$180))</f>
        <v>0</v>
      </c>
      <c r="C61" s="10">
        <f t="shared" si="4"/>
        <v>0</v>
      </c>
      <c r="D61" s="10">
        <f t="shared" si="0"/>
        <v>0</v>
      </c>
      <c r="E61" s="88"/>
      <c r="F61" s="10">
        <f t="shared" si="6"/>
        <v>0</v>
      </c>
      <c r="G61" s="10">
        <f t="shared" si="2"/>
        <v>0</v>
      </c>
      <c r="H61" s="2">
        <f t="shared" si="5"/>
        <v>0</v>
      </c>
    </row>
    <row r="62" spans="1:8" ht="18" hidden="1" customHeight="1">
      <c r="A62" s="27">
        <v>51</v>
      </c>
      <c r="B62" s="10">
        <f>IF($D$5&lt;A62,0,SUM(B150:B$180))</f>
        <v>0</v>
      </c>
      <c r="C62" s="10">
        <f t="shared" si="4"/>
        <v>0</v>
      </c>
      <c r="D62" s="10">
        <f t="shared" si="0"/>
        <v>0</v>
      </c>
      <c r="E62" s="88"/>
      <c r="F62" s="10">
        <f t="shared" si="6"/>
        <v>0</v>
      </c>
      <c r="G62" s="10">
        <f t="shared" si="2"/>
        <v>0</v>
      </c>
      <c r="H62" s="2">
        <f t="shared" si="5"/>
        <v>0</v>
      </c>
    </row>
    <row r="63" spans="1:8" ht="18" hidden="1" customHeight="1">
      <c r="A63" s="27">
        <v>52</v>
      </c>
      <c r="B63" s="10">
        <f>IF($D$5&lt;A63,0,SUM(B151:B$180))</f>
        <v>0</v>
      </c>
      <c r="C63" s="10">
        <f t="shared" si="4"/>
        <v>0</v>
      </c>
      <c r="D63" s="10">
        <f t="shared" si="0"/>
        <v>0</v>
      </c>
      <c r="E63" s="88"/>
      <c r="F63" s="10">
        <f t="shared" si="6"/>
        <v>0</v>
      </c>
      <c r="G63" s="10">
        <f t="shared" si="2"/>
        <v>0</v>
      </c>
      <c r="H63" s="2">
        <f t="shared" si="5"/>
        <v>0</v>
      </c>
    </row>
    <row r="64" spans="1:8" ht="18" hidden="1" customHeight="1">
      <c r="A64" s="27">
        <v>53</v>
      </c>
      <c r="B64" s="10">
        <f>IF($D$5&lt;A64,0,SUM(B152:B$180))</f>
        <v>0</v>
      </c>
      <c r="C64" s="10">
        <f t="shared" si="4"/>
        <v>0</v>
      </c>
      <c r="D64" s="10">
        <f t="shared" si="0"/>
        <v>0</v>
      </c>
      <c r="E64" s="88"/>
      <c r="F64" s="10">
        <f t="shared" si="6"/>
        <v>0</v>
      </c>
      <c r="G64" s="10">
        <f t="shared" si="2"/>
        <v>0</v>
      </c>
      <c r="H64" s="2">
        <f t="shared" si="5"/>
        <v>0</v>
      </c>
    </row>
    <row r="65" spans="1:8" ht="18" hidden="1" customHeight="1">
      <c r="A65" s="27">
        <v>54</v>
      </c>
      <c r="B65" s="10">
        <f>IF($D$5&lt;A65,0,SUM(B153:B$180))</f>
        <v>0</v>
      </c>
      <c r="C65" s="10">
        <f t="shared" si="4"/>
        <v>0</v>
      </c>
      <c r="D65" s="10">
        <f t="shared" si="0"/>
        <v>0</v>
      </c>
      <c r="E65" s="88"/>
      <c r="F65" s="10">
        <f t="shared" si="6"/>
        <v>0</v>
      </c>
      <c r="G65" s="10">
        <f t="shared" si="2"/>
        <v>0</v>
      </c>
      <c r="H65" s="2">
        <f t="shared" si="5"/>
        <v>0</v>
      </c>
    </row>
    <row r="66" spans="1:8" ht="18" hidden="1" customHeight="1">
      <c r="A66" s="27">
        <v>55</v>
      </c>
      <c r="B66" s="10">
        <f>IF($D$5&lt;A66,0,SUM(B154:B$180))</f>
        <v>0</v>
      </c>
      <c r="C66" s="10">
        <f t="shared" si="4"/>
        <v>0</v>
      </c>
      <c r="D66" s="10">
        <f t="shared" si="0"/>
        <v>0</v>
      </c>
      <c r="E66" s="88"/>
      <c r="F66" s="10">
        <f t="shared" si="6"/>
        <v>0</v>
      </c>
      <c r="G66" s="10">
        <f t="shared" si="2"/>
        <v>0</v>
      </c>
      <c r="H66" s="2">
        <f t="shared" si="5"/>
        <v>0</v>
      </c>
    </row>
    <row r="67" spans="1:8" ht="18" hidden="1" customHeight="1">
      <c r="A67" s="27">
        <v>56</v>
      </c>
      <c r="B67" s="10">
        <f>IF($D$5&lt;A67,0,SUM(B155:B$180))</f>
        <v>0</v>
      </c>
      <c r="C67" s="10">
        <f t="shared" si="4"/>
        <v>0</v>
      </c>
      <c r="D67" s="10">
        <f t="shared" si="0"/>
        <v>0</v>
      </c>
      <c r="E67" s="88"/>
      <c r="F67" s="10">
        <f t="shared" si="6"/>
        <v>0</v>
      </c>
      <c r="G67" s="10">
        <f t="shared" si="2"/>
        <v>0</v>
      </c>
      <c r="H67" s="2">
        <f t="shared" si="5"/>
        <v>0</v>
      </c>
    </row>
    <row r="68" spans="1:8" ht="18" hidden="1" customHeight="1">
      <c r="A68" s="27">
        <v>57</v>
      </c>
      <c r="B68" s="10">
        <f>IF($D$5&lt;A68,0,SUM(B156:B$180))</f>
        <v>0</v>
      </c>
      <c r="C68" s="10">
        <f t="shared" si="4"/>
        <v>0</v>
      </c>
      <c r="D68" s="10">
        <f t="shared" si="0"/>
        <v>0</v>
      </c>
      <c r="E68" s="88"/>
      <c r="F68" s="10">
        <f t="shared" si="6"/>
        <v>0</v>
      </c>
      <c r="G68" s="10">
        <f t="shared" si="2"/>
        <v>0</v>
      </c>
      <c r="H68" s="2">
        <f t="shared" si="5"/>
        <v>0</v>
      </c>
    </row>
    <row r="69" spans="1:8" ht="18" hidden="1" customHeight="1">
      <c r="A69" s="27">
        <v>58</v>
      </c>
      <c r="B69" s="10">
        <f>IF($D$5&lt;A69,0,SUM(B157:B$180))</f>
        <v>0</v>
      </c>
      <c r="C69" s="10">
        <f t="shared" si="4"/>
        <v>0</v>
      </c>
      <c r="D69" s="10">
        <f t="shared" si="0"/>
        <v>0</v>
      </c>
      <c r="E69" s="88"/>
      <c r="F69" s="10">
        <f t="shared" si="6"/>
        <v>0</v>
      </c>
      <c r="G69" s="10">
        <f t="shared" si="2"/>
        <v>0</v>
      </c>
      <c r="H69" s="2">
        <f t="shared" si="5"/>
        <v>0</v>
      </c>
    </row>
    <row r="70" spans="1:8" ht="18" hidden="1" customHeight="1">
      <c r="A70" s="27">
        <v>59</v>
      </c>
      <c r="B70" s="10">
        <f>IF($D$5&lt;A70,0,SUM(B158:B$180))</f>
        <v>0</v>
      </c>
      <c r="C70" s="10">
        <f t="shared" si="4"/>
        <v>0</v>
      </c>
      <c r="D70" s="10">
        <f t="shared" si="0"/>
        <v>0</v>
      </c>
      <c r="E70" s="88"/>
      <c r="F70" s="10">
        <f t="shared" si="6"/>
        <v>0</v>
      </c>
      <c r="G70" s="10">
        <f t="shared" si="2"/>
        <v>0</v>
      </c>
      <c r="H70" s="2">
        <f t="shared" si="5"/>
        <v>0</v>
      </c>
    </row>
    <row r="71" spans="1:8" ht="18" hidden="1" customHeight="1">
      <c r="A71" s="27">
        <v>60</v>
      </c>
      <c r="B71" s="10">
        <f>IF($D$5&lt;A71,0,SUM(B159:B$180))</f>
        <v>0</v>
      </c>
      <c r="C71" s="10">
        <f t="shared" si="4"/>
        <v>0</v>
      </c>
      <c r="D71" s="10">
        <f t="shared" si="0"/>
        <v>0</v>
      </c>
      <c r="E71" s="88"/>
      <c r="F71" s="10">
        <f t="shared" si="6"/>
        <v>0</v>
      </c>
      <c r="G71" s="10">
        <f t="shared" si="2"/>
        <v>0</v>
      </c>
      <c r="H71" s="2">
        <f t="shared" si="5"/>
        <v>0</v>
      </c>
    </row>
    <row r="72" spans="1:8" ht="18" hidden="1" customHeight="1">
      <c r="A72" s="27">
        <v>61</v>
      </c>
      <c r="B72" s="10">
        <f>IF($D$5&lt;A72,0,SUM(B160:B$180))</f>
        <v>0</v>
      </c>
      <c r="C72" s="10">
        <f t="shared" si="4"/>
        <v>0</v>
      </c>
      <c r="D72" s="10">
        <f t="shared" si="0"/>
        <v>0</v>
      </c>
      <c r="E72" s="88"/>
      <c r="F72" s="10">
        <f t="shared" si="6"/>
        <v>0</v>
      </c>
      <c r="G72" s="10">
        <f t="shared" si="2"/>
        <v>0</v>
      </c>
      <c r="H72" s="2">
        <f t="shared" si="5"/>
        <v>0</v>
      </c>
    </row>
    <row r="73" spans="1:8" ht="18" hidden="1" customHeight="1">
      <c r="A73" s="27">
        <v>62</v>
      </c>
      <c r="B73" s="10">
        <f>IF($D$5&lt;A73,0,SUM(B161:B$180))</f>
        <v>0</v>
      </c>
      <c r="C73" s="10">
        <f t="shared" si="4"/>
        <v>0</v>
      </c>
      <c r="D73" s="10">
        <f t="shared" si="0"/>
        <v>0</v>
      </c>
      <c r="E73" s="88"/>
      <c r="F73" s="10">
        <f t="shared" si="6"/>
        <v>0</v>
      </c>
      <c r="G73" s="10">
        <f t="shared" si="2"/>
        <v>0</v>
      </c>
      <c r="H73" s="2">
        <f t="shared" si="5"/>
        <v>0</v>
      </c>
    </row>
    <row r="74" spans="1:8" ht="18" hidden="1" customHeight="1">
      <c r="A74" s="27">
        <v>63</v>
      </c>
      <c r="B74" s="10">
        <f>IF($D$5&lt;A74,0,SUM(B162:B$180))</f>
        <v>0</v>
      </c>
      <c r="C74" s="10">
        <f t="shared" si="4"/>
        <v>0</v>
      </c>
      <c r="D74" s="10">
        <f t="shared" si="0"/>
        <v>0</v>
      </c>
      <c r="E74" s="88"/>
      <c r="F74" s="10">
        <f t="shared" si="6"/>
        <v>0</v>
      </c>
      <c r="G74" s="10">
        <f t="shared" si="2"/>
        <v>0</v>
      </c>
      <c r="H74" s="2">
        <f t="shared" si="5"/>
        <v>0</v>
      </c>
    </row>
    <row r="75" spans="1:8" ht="18" hidden="1" customHeight="1">
      <c r="A75" s="27">
        <v>64</v>
      </c>
      <c r="B75" s="10">
        <f>IF($D$5&lt;A75,0,SUM(B163:B$180))</f>
        <v>0</v>
      </c>
      <c r="C75" s="10">
        <f t="shared" si="4"/>
        <v>0</v>
      </c>
      <c r="D75" s="10">
        <f t="shared" si="0"/>
        <v>0</v>
      </c>
      <c r="E75" s="88"/>
      <c r="F75" s="10">
        <f t="shared" si="6"/>
        <v>0</v>
      </c>
      <c r="G75" s="10">
        <f t="shared" si="2"/>
        <v>0</v>
      </c>
      <c r="H75" s="2">
        <f t="shared" si="5"/>
        <v>0</v>
      </c>
    </row>
    <row r="76" spans="1:8" ht="18" hidden="1" customHeight="1">
      <c r="A76" s="27">
        <v>65</v>
      </c>
      <c r="B76" s="10">
        <f>IF($D$5&lt;A76,0,SUM(B164:B$180))</f>
        <v>0</v>
      </c>
      <c r="C76" s="10">
        <f t="shared" si="4"/>
        <v>0</v>
      </c>
      <c r="D76" s="10">
        <f t="shared" ref="D76:D92" si="7">D164</f>
        <v>0</v>
      </c>
      <c r="E76" s="88"/>
      <c r="F76" s="10">
        <f t="shared" si="6"/>
        <v>0</v>
      </c>
      <c r="G76" s="10">
        <f t="shared" ref="G76:G92" si="8">ROUND(F76*D$6/12*3,-1)</f>
        <v>0</v>
      </c>
      <c r="H76" s="2">
        <f t="shared" si="5"/>
        <v>0</v>
      </c>
    </row>
    <row r="77" spans="1:8" ht="18" hidden="1" customHeight="1">
      <c r="A77" s="27">
        <v>66</v>
      </c>
      <c r="B77" s="10">
        <f>IF($D$5&lt;A77,0,SUM(B165:B$180))</f>
        <v>0</v>
      </c>
      <c r="C77" s="10">
        <f t="shared" si="4"/>
        <v>0</v>
      </c>
      <c r="D77" s="10">
        <f t="shared" si="7"/>
        <v>0</v>
      </c>
      <c r="E77" s="88"/>
      <c r="F77" s="10">
        <f t="shared" si="6"/>
        <v>0</v>
      </c>
      <c r="G77" s="10">
        <f t="shared" si="8"/>
        <v>0</v>
      </c>
      <c r="H77" s="2">
        <f t="shared" si="5"/>
        <v>0</v>
      </c>
    </row>
    <row r="78" spans="1:8" ht="18" hidden="1" customHeight="1">
      <c r="A78" s="27">
        <v>67</v>
      </c>
      <c r="B78" s="10">
        <f>IF($D$5&lt;A78,0,SUM(B166:B$180))</f>
        <v>0</v>
      </c>
      <c r="C78" s="10">
        <f t="shared" ref="C78:C92" si="9">ROUNDDOWN((B78+E78)*0.1,0)</f>
        <v>0</v>
      </c>
      <c r="D78" s="10">
        <f t="shared" si="7"/>
        <v>0</v>
      </c>
      <c r="E78" s="88"/>
      <c r="F78" s="10">
        <f t="shared" si="6"/>
        <v>0</v>
      </c>
      <c r="G78" s="10">
        <f t="shared" si="8"/>
        <v>0</v>
      </c>
      <c r="H78" s="2">
        <f t="shared" si="5"/>
        <v>0</v>
      </c>
    </row>
    <row r="79" spans="1:8" ht="18" hidden="1" customHeight="1">
      <c r="A79" s="27">
        <v>68</v>
      </c>
      <c r="B79" s="10">
        <f>IF($D$5&lt;A79,0,SUM(B167:B$180))</f>
        <v>0</v>
      </c>
      <c r="C79" s="10">
        <f t="shared" si="9"/>
        <v>0</v>
      </c>
      <c r="D79" s="10">
        <f t="shared" si="7"/>
        <v>0</v>
      </c>
      <c r="E79" s="88"/>
      <c r="F79" s="10">
        <f t="shared" si="6"/>
        <v>0</v>
      </c>
      <c r="G79" s="10">
        <f t="shared" si="8"/>
        <v>0</v>
      </c>
      <c r="H79" s="2">
        <f t="shared" si="5"/>
        <v>0</v>
      </c>
    </row>
    <row r="80" spans="1:8" ht="18" hidden="1" customHeight="1">
      <c r="A80" s="27">
        <v>69</v>
      </c>
      <c r="B80" s="10">
        <f>IF($D$5&lt;A80,0,SUM(B168:B$180))</f>
        <v>0</v>
      </c>
      <c r="C80" s="10">
        <f t="shared" si="9"/>
        <v>0</v>
      </c>
      <c r="D80" s="10">
        <f t="shared" si="7"/>
        <v>0</v>
      </c>
      <c r="E80" s="88"/>
      <c r="F80" s="10">
        <f t="shared" si="6"/>
        <v>0</v>
      </c>
      <c r="G80" s="10">
        <f t="shared" si="8"/>
        <v>0</v>
      </c>
      <c r="H80" s="2">
        <f t="shared" si="5"/>
        <v>0</v>
      </c>
    </row>
    <row r="81" spans="1:8" ht="18" hidden="1" customHeight="1">
      <c r="A81" s="27">
        <v>70</v>
      </c>
      <c r="B81" s="10">
        <f>IF($D$5&lt;A81,0,SUM(B169:B$180))</f>
        <v>0</v>
      </c>
      <c r="C81" s="10">
        <f t="shared" si="9"/>
        <v>0</v>
      </c>
      <c r="D81" s="10">
        <f t="shared" si="7"/>
        <v>0</v>
      </c>
      <c r="E81" s="88"/>
      <c r="F81" s="10">
        <f t="shared" si="6"/>
        <v>0</v>
      </c>
      <c r="G81" s="10">
        <f t="shared" si="8"/>
        <v>0</v>
      </c>
      <c r="H81" s="2">
        <f t="shared" si="5"/>
        <v>0</v>
      </c>
    </row>
    <row r="82" spans="1:8" ht="18" hidden="1" customHeight="1">
      <c r="A82" s="27">
        <v>71</v>
      </c>
      <c r="B82" s="10">
        <f>IF($D$5&lt;A82,0,SUM(B170:B$180))</f>
        <v>0</v>
      </c>
      <c r="C82" s="10">
        <f t="shared" si="9"/>
        <v>0</v>
      </c>
      <c r="D82" s="10">
        <f t="shared" si="7"/>
        <v>0</v>
      </c>
      <c r="E82" s="88"/>
      <c r="F82" s="10">
        <f t="shared" si="6"/>
        <v>0</v>
      </c>
      <c r="G82" s="10">
        <f t="shared" si="8"/>
        <v>0</v>
      </c>
      <c r="H82" s="2">
        <f t="shared" si="5"/>
        <v>0</v>
      </c>
    </row>
    <row r="83" spans="1:8" ht="18" hidden="1" customHeight="1">
      <c r="A83" s="27">
        <v>72</v>
      </c>
      <c r="B83" s="10">
        <f>IF($D$5&lt;A83,0,SUM(B171:B$180))</f>
        <v>0</v>
      </c>
      <c r="C83" s="10">
        <f t="shared" si="9"/>
        <v>0</v>
      </c>
      <c r="D83" s="10">
        <f t="shared" si="7"/>
        <v>0</v>
      </c>
      <c r="E83" s="88"/>
      <c r="F83" s="10">
        <f t="shared" si="6"/>
        <v>0</v>
      </c>
      <c r="G83" s="10">
        <f t="shared" si="8"/>
        <v>0</v>
      </c>
      <c r="H83" s="2">
        <f t="shared" si="5"/>
        <v>0</v>
      </c>
    </row>
    <row r="84" spans="1:8" ht="18" hidden="1" customHeight="1">
      <c r="A84" s="27">
        <v>73</v>
      </c>
      <c r="B84" s="10">
        <f>IF($D$5&lt;A84,0,SUM(B172:B$180))</f>
        <v>0</v>
      </c>
      <c r="C84" s="10">
        <f t="shared" si="9"/>
        <v>0</v>
      </c>
      <c r="D84" s="10">
        <f t="shared" si="7"/>
        <v>0</v>
      </c>
      <c r="E84" s="88"/>
      <c r="F84" s="10">
        <f t="shared" si="6"/>
        <v>0</v>
      </c>
      <c r="G84" s="10">
        <f t="shared" si="8"/>
        <v>0</v>
      </c>
      <c r="H84" s="2">
        <f t="shared" si="5"/>
        <v>0</v>
      </c>
    </row>
    <row r="85" spans="1:8" ht="18" hidden="1" customHeight="1">
      <c r="A85" s="27">
        <v>74</v>
      </c>
      <c r="B85" s="10">
        <f>IF($D$5&lt;A85,0,SUM(B173:B$180))</f>
        <v>0</v>
      </c>
      <c r="C85" s="10">
        <f t="shared" si="9"/>
        <v>0</v>
      </c>
      <c r="D85" s="10">
        <f t="shared" si="7"/>
        <v>0</v>
      </c>
      <c r="E85" s="88"/>
      <c r="F85" s="10">
        <f t="shared" si="6"/>
        <v>0</v>
      </c>
      <c r="G85" s="10">
        <f t="shared" si="8"/>
        <v>0</v>
      </c>
      <c r="H85" s="2">
        <f t="shared" si="5"/>
        <v>0</v>
      </c>
    </row>
    <row r="86" spans="1:8" ht="18" hidden="1" customHeight="1">
      <c r="A86" s="27">
        <v>75</v>
      </c>
      <c r="B86" s="10">
        <f>IF($D$5&lt;A86,0,SUM(B174:B$180))</f>
        <v>0</v>
      </c>
      <c r="C86" s="10">
        <f t="shared" si="9"/>
        <v>0</v>
      </c>
      <c r="D86" s="10">
        <f t="shared" si="7"/>
        <v>0</v>
      </c>
      <c r="E86" s="88"/>
      <c r="F86" s="10">
        <f t="shared" si="6"/>
        <v>0</v>
      </c>
      <c r="G86" s="10">
        <f t="shared" si="8"/>
        <v>0</v>
      </c>
      <c r="H86" s="2">
        <f t="shared" si="5"/>
        <v>0</v>
      </c>
    </row>
    <row r="87" spans="1:8" ht="18" hidden="1" customHeight="1">
      <c r="A87" s="27">
        <v>76</v>
      </c>
      <c r="B87" s="10">
        <f>IF($D$5&lt;A87,0,SUM(B175:B$180))</f>
        <v>0</v>
      </c>
      <c r="C87" s="10">
        <f t="shared" si="9"/>
        <v>0</v>
      </c>
      <c r="D87" s="10">
        <f t="shared" si="7"/>
        <v>0</v>
      </c>
      <c r="E87" s="88"/>
      <c r="F87" s="10">
        <f t="shared" si="6"/>
        <v>0</v>
      </c>
      <c r="G87" s="10">
        <f t="shared" si="8"/>
        <v>0</v>
      </c>
      <c r="H87" s="2">
        <f t="shared" ref="H87:H91" si="10">IF($D$5&lt;A87,0,$E$9)</f>
        <v>0</v>
      </c>
    </row>
    <row r="88" spans="1:8" ht="18" hidden="1" customHeight="1">
      <c r="A88" s="27">
        <v>77</v>
      </c>
      <c r="B88" s="10">
        <f>IF($D$5&lt;A88,0,SUM(B176:B$180))</f>
        <v>0</v>
      </c>
      <c r="C88" s="10">
        <f t="shared" si="9"/>
        <v>0</v>
      </c>
      <c r="D88" s="10">
        <f t="shared" si="7"/>
        <v>0</v>
      </c>
      <c r="E88" s="88"/>
      <c r="F88" s="10">
        <f t="shared" si="6"/>
        <v>0</v>
      </c>
      <c r="G88" s="10">
        <f t="shared" si="8"/>
        <v>0</v>
      </c>
      <c r="H88" s="2">
        <f t="shared" si="10"/>
        <v>0</v>
      </c>
    </row>
    <row r="89" spans="1:8" ht="18" hidden="1" customHeight="1">
      <c r="A89" s="27">
        <v>78</v>
      </c>
      <c r="B89" s="10">
        <f>IF($D$5&lt;A89,0,SUM(B177:B$180))</f>
        <v>0</v>
      </c>
      <c r="C89" s="10">
        <f t="shared" si="9"/>
        <v>0</v>
      </c>
      <c r="D89" s="10">
        <f t="shared" si="7"/>
        <v>0</v>
      </c>
      <c r="E89" s="88"/>
      <c r="F89" s="10">
        <f t="shared" si="6"/>
        <v>0</v>
      </c>
      <c r="G89" s="10">
        <f t="shared" si="8"/>
        <v>0</v>
      </c>
      <c r="H89" s="2">
        <f t="shared" si="10"/>
        <v>0</v>
      </c>
    </row>
    <row r="90" spans="1:8" ht="18" hidden="1" customHeight="1">
      <c r="A90" s="27">
        <v>79</v>
      </c>
      <c r="B90" s="10">
        <f>IF($D$5&lt;A90,0,SUM(B178:B$180))</f>
        <v>0</v>
      </c>
      <c r="C90" s="10">
        <f t="shared" si="9"/>
        <v>0</v>
      </c>
      <c r="D90" s="10">
        <f t="shared" si="7"/>
        <v>0</v>
      </c>
      <c r="E90" s="88"/>
      <c r="F90" s="10">
        <f t="shared" si="6"/>
        <v>0</v>
      </c>
      <c r="G90" s="10">
        <f t="shared" si="8"/>
        <v>0</v>
      </c>
      <c r="H90" s="2">
        <f t="shared" si="10"/>
        <v>0</v>
      </c>
    </row>
    <row r="91" spans="1:8" ht="18" hidden="1" customHeight="1">
      <c r="A91" s="27">
        <v>80</v>
      </c>
      <c r="B91" s="10">
        <f>IF($D$5&lt;A91,0,SUM(B179:B$180))</f>
        <v>0</v>
      </c>
      <c r="C91" s="10">
        <f t="shared" si="9"/>
        <v>0</v>
      </c>
      <c r="D91" s="10">
        <f t="shared" si="7"/>
        <v>0</v>
      </c>
      <c r="E91" s="88"/>
      <c r="F91" s="10">
        <f t="shared" si="6"/>
        <v>0</v>
      </c>
      <c r="G91" s="10">
        <f t="shared" si="8"/>
        <v>0</v>
      </c>
      <c r="H91" s="2">
        <f t="shared" si="10"/>
        <v>0</v>
      </c>
    </row>
    <row r="92" spans="1:8" ht="18" hidden="1" customHeight="1">
      <c r="A92" s="14" t="s">
        <v>41</v>
      </c>
      <c r="B92" s="10">
        <f>SUM(B180:B180)</f>
        <v>0</v>
      </c>
      <c r="C92" s="10">
        <f t="shared" si="9"/>
        <v>0</v>
      </c>
      <c r="D92" s="10">
        <f t="shared" si="7"/>
        <v>0</v>
      </c>
      <c r="E92" s="88"/>
      <c r="F92" s="10">
        <f t="shared" si="6"/>
        <v>0</v>
      </c>
      <c r="G92" s="10">
        <f t="shared" si="8"/>
        <v>0</v>
      </c>
      <c r="H92" s="2">
        <f>$C$9*0.1</f>
        <v>0</v>
      </c>
    </row>
    <row r="93" spans="1:8" ht="18" hidden="1" customHeight="1">
      <c r="B93" s="5"/>
      <c r="C93" s="5"/>
      <c r="D93" s="5"/>
      <c r="E93" s="5"/>
      <c r="F93" s="5"/>
      <c r="G93" s="5"/>
    </row>
    <row r="94" spans="1:8" s="18" customFormat="1" ht="18.75" hidden="1" customHeight="1">
      <c r="A94" s="16" t="s">
        <v>61</v>
      </c>
      <c r="B94" s="29"/>
      <c r="C94" s="29"/>
      <c r="D94" s="29"/>
      <c r="E94" s="29"/>
      <c r="F94" s="29"/>
      <c r="G94" s="29"/>
      <c r="H94" s="29"/>
    </row>
    <row r="95" spans="1:8" s="18" customFormat="1" ht="18.75" hidden="1" customHeight="1">
      <c r="A95" s="19" t="s">
        <v>62</v>
      </c>
      <c r="B95" s="17"/>
      <c r="C95" s="17"/>
      <c r="D95" s="17"/>
      <c r="E95" s="17"/>
      <c r="F95" s="17"/>
      <c r="G95" s="17"/>
    </row>
    <row r="96" spans="1:8" ht="18.75" hidden="1" customHeight="1">
      <c r="A96" s="16" t="s">
        <v>63</v>
      </c>
    </row>
    <row r="97" spans="1:8" s="18" customFormat="1" ht="18.75" hidden="1" customHeight="1">
      <c r="A97" s="16" t="s">
        <v>64</v>
      </c>
      <c r="B97" s="17"/>
      <c r="C97" s="17"/>
      <c r="D97" s="17"/>
      <c r="E97" s="17"/>
      <c r="F97" s="17"/>
      <c r="G97" s="17"/>
    </row>
    <row r="98" spans="1:8" s="18" customFormat="1" ht="18.75" hidden="1" customHeight="1">
      <c r="A98" s="16"/>
      <c r="B98" s="17"/>
      <c r="C98" s="17"/>
      <c r="D98" s="17"/>
      <c r="E98" s="138" t="s">
        <v>133</v>
      </c>
      <c r="F98" s="139"/>
      <c r="G98" s="139"/>
    </row>
    <row r="99" spans="1:8" ht="30.75" customHeight="1">
      <c r="A99" s="12" t="s">
        <v>78</v>
      </c>
      <c r="B99" s="8" t="s">
        <v>36</v>
      </c>
      <c r="C99" s="8" t="s">
        <v>37</v>
      </c>
      <c r="D99" s="8" t="s">
        <v>44</v>
      </c>
      <c r="E99" s="8" t="s">
        <v>40</v>
      </c>
      <c r="F99" s="57" t="s">
        <v>106</v>
      </c>
      <c r="G99" s="8" t="s">
        <v>57</v>
      </c>
    </row>
    <row r="100" spans="1:8" ht="17.25" customHeight="1">
      <c r="A100" s="30">
        <v>1</v>
      </c>
      <c r="B100" s="10" t="e">
        <f>E$8+G8</f>
        <v>#DIV/0!</v>
      </c>
      <c r="C100" s="10" t="e">
        <f>ROUNDDOWN(B100*0.1,0)</f>
        <v>#DIV/0!</v>
      </c>
      <c r="D100" s="10" t="e">
        <f>ROUNDDOWN(SUM(B100:B$179)*B$6/12*3,0)</f>
        <v>#DIV/0!</v>
      </c>
      <c r="E100" s="81" t="e">
        <f>G12+G13</f>
        <v>#DIV/0!</v>
      </c>
      <c r="F100" s="10">
        <f>ROUND((基本情報入力!B12+(基本情報入力!B12*基本情報入力!B14))*基本情報入力!B18/100*基本情報入力!B19/1000,-1)</f>
        <v>0</v>
      </c>
      <c r="G100" s="10" t="e">
        <f t="shared" ref="G100:G131" si="11">SUM(B100:F100)</f>
        <v>#DIV/0!</v>
      </c>
    </row>
    <row r="101" spans="1:8" ht="17.25" customHeight="1">
      <c r="A101" s="30">
        <v>2</v>
      </c>
      <c r="B101" s="10" t="e">
        <f>E$8</f>
        <v>#DIV/0!</v>
      </c>
      <c r="C101" s="10" t="e">
        <f t="shared" ref="C101:C164" si="12">ROUNDDOWN(B101*0.1,0)</f>
        <v>#DIV/0!</v>
      </c>
      <c r="D101" s="10" t="e">
        <f>ROUNDDOWN(SUM(B101:B$179)*B$6/12*3,0)</f>
        <v>#DIV/0!</v>
      </c>
      <c r="E101" s="10" t="e">
        <f t="shared" ref="E101:E110" si="13">G14</f>
        <v>#DIV/0!</v>
      </c>
      <c r="F101" s="10"/>
      <c r="G101" s="10" t="e">
        <f t="shared" si="11"/>
        <v>#DIV/0!</v>
      </c>
      <c r="H101" s="20"/>
    </row>
    <row r="102" spans="1:8" ht="17.25" customHeight="1">
      <c r="A102" s="30">
        <v>3</v>
      </c>
      <c r="B102" s="10" t="e">
        <f>E$8</f>
        <v>#DIV/0!</v>
      </c>
      <c r="C102" s="10" t="e">
        <f t="shared" si="12"/>
        <v>#DIV/0!</v>
      </c>
      <c r="D102" s="10" t="e">
        <f>ROUNDDOWN(SUM(B102:B$179)*B$6/12*3,0)</f>
        <v>#DIV/0!</v>
      </c>
      <c r="E102" s="10">
        <f t="shared" si="13"/>
        <v>0</v>
      </c>
      <c r="F102" s="10"/>
      <c r="G102" s="10" t="e">
        <f t="shared" si="11"/>
        <v>#DIV/0!</v>
      </c>
      <c r="H102" s="20"/>
    </row>
    <row r="103" spans="1:8" ht="17.25" customHeight="1">
      <c r="A103" s="30">
        <v>4</v>
      </c>
      <c r="B103" s="10">
        <f t="shared" ref="B103:B166" si="14">IF($D$5&lt;A103,0,$E$8)</f>
        <v>0</v>
      </c>
      <c r="C103" s="10">
        <f t="shared" si="12"/>
        <v>0</v>
      </c>
      <c r="D103" s="10">
        <f>ROUNDDOWN(SUM(B103:B$179)*B$6/12*3,0)</f>
        <v>0</v>
      </c>
      <c r="E103" s="10">
        <f t="shared" si="13"/>
        <v>0</v>
      </c>
      <c r="F103" s="10"/>
      <c r="G103" s="10">
        <f t="shared" si="11"/>
        <v>0</v>
      </c>
      <c r="H103" s="20"/>
    </row>
    <row r="104" spans="1:8" ht="17.25" customHeight="1">
      <c r="A104" s="30">
        <v>5</v>
      </c>
      <c r="B104" s="10">
        <f t="shared" si="14"/>
        <v>0</v>
      </c>
      <c r="C104" s="10">
        <f t="shared" si="12"/>
        <v>0</v>
      </c>
      <c r="D104" s="10">
        <f>ROUNDDOWN(SUM(B104:B$179)*B$6/12*3,0)</f>
        <v>0</v>
      </c>
      <c r="E104" s="10">
        <f t="shared" si="13"/>
        <v>0</v>
      </c>
      <c r="F104" s="10"/>
      <c r="G104" s="10">
        <f t="shared" si="11"/>
        <v>0</v>
      </c>
      <c r="H104" s="20"/>
    </row>
    <row r="105" spans="1:8" ht="17.25" customHeight="1">
      <c r="A105" s="30">
        <v>6</v>
      </c>
      <c r="B105" s="10">
        <f t="shared" si="14"/>
        <v>0</v>
      </c>
      <c r="C105" s="10">
        <f t="shared" si="12"/>
        <v>0</v>
      </c>
      <c r="D105" s="10">
        <f>ROUNDDOWN(SUM(B105:B$179)*B$6/12*3,0)</f>
        <v>0</v>
      </c>
      <c r="E105" s="10">
        <f t="shared" si="13"/>
        <v>0</v>
      </c>
      <c r="F105" s="10"/>
      <c r="G105" s="10">
        <f t="shared" si="11"/>
        <v>0</v>
      </c>
      <c r="H105" s="20"/>
    </row>
    <row r="106" spans="1:8" ht="17.25" customHeight="1">
      <c r="A106" s="30">
        <v>7</v>
      </c>
      <c r="B106" s="10">
        <f t="shared" si="14"/>
        <v>0</v>
      </c>
      <c r="C106" s="10">
        <f t="shared" si="12"/>
        <v>0</v>
      </c>
      <c r="D106" s="10">
        <f>ROUNDDOWN(SUM(B106:B$179)*B$6/12*3,0)</f>
        <v>0</v>
      </c>
      <c r="E106" s="10">
        <f t="shared" si="13"/>
        <v>0</v>
      </c>
      <c r="F106" s="10"/>
      <c r="G106" s="10">
        <f t="shared" si="11"/>
        <v>0</v>
      </c>
      <c r="H106" s="20"/>
    </row>
    <row r="107" spans="1:8" ht="17.25" customHeight="1">
      <c r="A107" s="30">
        <v>8</v>
      </c>
      <c r="B107" s="10">
        <f t="shared" si="14"/>
        <v>0</v>
      </c>
      <c r="C107" s="10">
        <f t="shared" si="12"/>
        <v>0</v>
      </c>
      <c r="D107" s="10">
        <f>ROUNDDOWN(SUM(B107:B$179)*B$6/12*3,0)</f>
        <v>0</v>
      </c>
      <c r="E107" s="10">
        <f t="shared" si="13"/>
        <v>0</v>
      </c>
      <c r="F107" s="10"/>
      <c r="G107" s="10">
        <f t="shared" si="11"/>
        <v>0</v>
      </c>
      <c r="H107" s="20"/>
    </row>
    <row r="108" spans="1:8" ht="17.25" customHeight="1">
      <c r="A108" s="30">
        <v>9</v>
      </c>
      <c r="B108" s="10">
        <f t="shared" si="14"/>
        <v>0</v>
      </c>
      <c r="C108" s="10">
        <f t="shared" si="12"/>
        <v>0</v>
      </c>
      <c r="D108" s="10">
        <f>ROUNDDOWN(SUM(B108:B$179)*B$6/12*3,0)</f>
        <v>0</v>
      </c>
      <c r="E108" s="10">
        <f t="shared" si="13"/>
        <v>0</v>
      </c>
      <c r="F108" s="10"/>
      <c r="G108" s="10">
        <f t="shared" si="11"/>
        <v>0</v>
      </c>
      <c r="H108" s="20"/>
    </row>
    <row r="109" spans="1:8" ht="17.25" customHeight="1">
      <c r="A109" s="30">
        <v>10</v>
      </c>
      <c r="B109" s="10">
        <f t="shared" si="14"/>
        <v>0</v>
      </c>
      <c r="C109" s="10">
        <f t="shared" si="12"/>
        <v>0</v>
      </c>
      <c r="D109" s="10">
        <f>ROUNDDOWN(SUM(B109:B$179)*B$6/12*3,0)</f>
        <v>0</v>
      </c>
      <c r="E109" s="10">
        <f t="shared" si="13"/>
        <v>0</v>
      </c>
      <c r="F109" s="10"/>
      <c r="G109" s="10">
        <f t="shared" si="11"/>
        <v>0</v>
      </c>
      <c r="H109" s="20"/>
    </row>
    <row r="110" spans="1:8" ht="17.25" customHeight="1">
      <c r="A110" s="30">
        <v>11</v>
      </c>
      <c r="B110" s="10">
        <f t="shared" si="14"/>
        <v>0</v>
      </c>
      <c r="C110" s="10">
        <f t="shared" si="12"/>
        <v>0</v>
      </c>
      <c r="D110" s="10">
        <f>ROUNDDOWN(SUM(B110:B$179)*B$6/12*3,0)</f>
        <v>0</v>
      </c>
      <c r="E110" s="10">
        <f t="shared" si="13"/>
        <v>0</v>
      </c>
      <c r="F110" s="10"/>
      <c r="G110" s="10">
        <f t="shared" si="11"/>
        <v>0</v>
      </c>
      <c r="H110" s="20"/>
    </row>
    <row r="111" spans="1:8" ht="17.25" customHeight="1">
      <c r="A111" s="30">
        <v>12</v>
      </c>
      <c r="B111" s="10">
        <f t="shared" si="14"/>
        <v>0</v>
      </c>
      <c r="C111" s="10">
        <f t="shared" si="12"/>
        <v>0</v>
      </c>
      <c r="D111" s="10">
        <f>ROUNDDOWN(SUM(B111:B$179)*B$6/12*3,0)</f>
        <v>0</v>
      </c>
      <c r="E111" s="10">
        <f t="shared" ref="E111:E142" si="15">IF($D$5=A111,$G$92,G24)</f>
        <v>0</v>
      </c>
      <c r="F111" s="10"/>
      <c r="G111" s="10">
        <f t="shared" si="11"/>
        <v>0</v>
      </c>
      <c r="H111" s="20"/>
    </row>
    <row r="112" spans="1:8" ht="17.25" customHeight="1">
      <c r="A112" s="30">
        <v>13</v>
      </c>
      <c r="B112" s="10">
        <f t="shared" si="14"/>
        <v>0</v>
      </c>
      <c r="C112" s="10">
        <f t="shared" si="12"/>
        <v>0</v>
      </c>
      <c r="D112" s="10">
        <f>ROUNDDOWN(SUM(B112:B$179)*B$6/12*3,0)</f>
        <v>0</v>
      </c>
      <c r="E112" s="10">
        <f t="shared" si="15"/>
        <v>0</v>
      </c>
      <c r="F112" s="10"/>
      <c r="G112" s="10">
        <f t="shared" si="11"/>
        <v>0</v>
      </c>
      <c r="H112" s="20"/>
    </row>
    <row r="113" spans="1:8" ht="17.25" customHeight="1">
      <c r="A113" s="30">
        <v>14</v>
      </c>
      <c r="B113" s="10">
        <f t="shared" si="14"/>
        <v>0</v>
      </c>
      <c r="C113" s="10">
        <f t="shared" si="12"/>
        <v>0</v>
      </c>
      <c r="D113" s="10">
        <f>ROUNDDOWN(SUM(B113:B$179)*B$6/12*3,0)</f>
        <v>0</v>
      </c>
      <c r="E113" s="10">
        <f t="shared" si="15"/>
        <v>0</v>
      </c>
      <c r="F113" s="10"/>
      <c r="G113" s="10">
        <f t="shared" si="11"/>
        <v>0</v>
      </c>
      <c r="H113" s="20"/>
    </row>
    <row r="114" spans="1:8" ht="17.25" customHeight="1">
      <c r="A114" s="30">
        <v>15</v>
      </c>
      <c r="B114" s="10">
        <f t="shared" si="14"/>
        <v>0</v>
      </c>
      <c r="C114" s="10">
        <f t="shared" si="12"/>
        <v>0</v>
      </c>
      <c r="D114" s="10">
        <f>ROUNDDOWN(SUM(B114:B$179)*B$6/12*3,0)</f>
        <v>0</v>
      </c>
      <c r="E114" s="10">
        <f t="shared" si="15"/>
        <v>0</v>
      </c>
      <c r="F114" s="10"/>
      <c r="G114" s="10">
        <f t="shared" si="11"/>
        <v>0</v>
      </c>
      <c r="H114" s="20"/>
    </row>
    <row r="115" spans="1:8" ht="17.25" customHeight="1">
      <c r="A115" s="30">
        <v>16</v>
      </c>
      <c r="B115" s="10">
        <f t="shared" si="14"/>
        <v>0</v>
      </c>
      <c r="C115" s="10">
        <f t="shared" si="12"/>
        <v>0</v>
      </c>
      <c r="D115" s="10">
        <f>ROUNDDOWN(SUM(B115:B$179)*B$6/12*3,0)</f>
        <v>0</v>
      </c>
      <c r="E115" s="10">
        <f t="shared" si="15"/>
        <v>0</v>
      </c>
      <c r="F115" s="10"/>
      <c r="G115" s="10">
        <f t="shared" si="11"/>
        <v>0</v>
      </c>
      <c r="H115" s="20"/>
    </row>
    <row r="116" spans="1:8" ht="17.25" customHeight="1">
      <c r="A116" s="30">
        <v>17</v>
      </c>
      <c r="B116" s="10">
        <f t="shared" si="14"/>
        <v>0</v>
      </c>
      <c r="C116" s="10">
        <f t="shared" si="12"/>
        <v>0</v>
      </c>
      <c r="D116" s="10">
        <f>ROUNDDOWN(SUM(B116:B$179)*B$6/12*3,0)</f>
        <v>0</v>
      </c>
      <c r="E116" s="10">
        <f t="shared" si="15"/>
        <v>0</v>
      </c>
      <c r="F116" s="10"/>
      <c r="G116" s="10">
        <f t="shared" si="11"/>
        <v>0</v>
      </c>
      <c r="H116" s="20"/>
    </row>
    <row r="117" spans="1:8" ht="17.25" customHeight="1">
      <c r="A117" s="30">
        <v>18</v>
      </c>
      <c r="B117" s="10">
        <f t="shared" si="14"/>
        <v>0</v>
      </c>
      <c r="C117" s="10">
        <f t="shared" si="12"/>
        <v>0</v>
      </c>
      <c r="D117" s="10">
        <f>ROUNDDOWN(SUM(B117:B$179)*B$6/12*3,0)</f>
        <v>0</v>
      </c>
      <c r="E117" s="10">
        <f t="shared" si="15"/>
        <v>0</v>
      </c>
      <c r="F117" s="10"/>
      <c r="G117" s="10">
        <f t="shared" si="11"/>
        <v>0</v>
      </c>
      <c r="H117" s="20"/>
    </row>
    <row r="118" spans="1:8" ht="17.25" customHeight="1">
      <c r="A118" s="30">
        <v>19</v>
      </c>
      <c r="B118" s="10">
        <f t="shared" si="14"/>
        <v>0</v>
      </c>
      <c r="C118" s="10">
        <f t="shared" si="12"/>
        <v>0</v>
      </c>
      <c r="D118" s="10">
        <f>ROUNDDOWN(SUM(B118:B$179)*B$6/12*3,0)</f>
        <v>0</v>
      </c>
      <c r="E118" s="10">
        <f t="shared" si="15"/>
        <v>0</v>
      </c>
      <c r="F118" s="10"/>
      <c r="G118" s="10">
        <f t="shared" si="11"/>
        <v>0</v>
      </c>
      <c r="H118" s="20"/>
    </row>
    <row r="119" spans="1:8" ht="17.25" customHeight="1">
      <c r="A119" s="30">
        <v>20</v>
      </c>
      <c r="B119" s="10">
        <f t="shared" si="14"/>
        <v>0</v>
      </c>
      <c r="C119" s="10">
        <f t="shared" si="12"/>
        <v>0</v>
      </c>
      <c r="D119" s="10">
        <f>ROUNDDOWN(SUM(B119:B$179)*B$6/12*3,0)</f>
        <v>0</v>
      </c>
      <c r="E119" s="10">
        <f t="shared" si="15"/>
        <v>0</v>
      </c>
      <c r="F119" s="10"/>
      <c r="G119" s="10">
        <f t="shared" si="11"/>
        <v>0</v>
      </c>
      <c r="H119" s="20"/>
    </row>
    <row r="120" spans="1:8" ht="17.25" customHeight="1">
      <c r="A120" s="30">
        <v>21</v>
      </c>
      <c r="B120" s="10">
        <f t="shared" si="14"/>
        <v>0</v>
      </c>
      <c r="C120" s="10">
        <f t="shared" si="12"/>
        <v>0</v>
      </c>
      <c r="D120" s="10">
        <f>ROUNDDOWN(SUM(B120:B$179)*B$6/12*3,0)</f>
        <v>0</v>
      </c>
      <c r="E120" s="10">
        <f t="shared" si="15"/>
        <v>0</v>
      </c>
      <c r="F120" s="10"/>
      <c r="G120" s="10">
        <f t="shared" si="11"/>
        <v>0</v>
      </c>
      <c r="H120" s="20"/>
    </row>
    <row r="121" spans="1:8" ht="17.25" customHeight="1">
      <c r="A121" s="30">
        <v>22</v>
      </c>
      <c r="B121" s="10">
        <f t="shared" si="14"/>
        <v>0</v>
      </c>
      <c r="C121" s="10">
        <f t="shared" si="12"/>
        <v>0</v>
      </c>
      <c r="D121" s="10">
        <f>ROUNDDOWN(SUM(B121:B$179)*B$6/12*3,0)</f>
        <v>0</v>
      </c>
      <c r="E121" s="10">
        <f t="shared" si="15"/>
        <v>0</v>
      </c>
      <c r="F121" s="10"/>
      <c r="G121" s="10">
        <f t="shared" si="11"/>
        <v>0</v>
      </c>
      <c r="H121" s="20"/>
    </row>
    <row r="122" spans="1:8" ht="17.25" customHeight="1">
      <c r="A122" s="30">
        <v>23</v>
      </c>
      <c r="B122" s="10">
        <f t="shared" si="14"/>
        <v>0</v>
      </c>
      <c r="C122" s="10">
        <f t="shared" si="12"/>
        <v>0</v>
      </c>
      <c r="D122" s="10">
        <f>ROUNDDOWN(SUM(B122:B$179)*B$6/12*3,0)</f>
        <v>0</v>
      </c>
      <c r="E122" s="10">
        <f t="shared" si="15"/>
        <v>0</v>
      </c>
      <c r="F122" s="10"/>
      <c r="G122" s="10">
        <f t="shared" si="11"/>
        <v>0</v>
      </c>
      <c r="H122" s="20"/>
    </row>
    <row r="123" spans="1:8" ht="17.25" customHeight="1">
      <c r="A123" s="30">
        <v>24</v>
      </c>
      <c r="B123" s="10">
        <f t="shared" si="14"/>
        <v>0</v>
      </c>
      <c r="C123" s="10">
        <f t="shared" si="12"/>
        <v>0</v>
      </c>
      <c r="D123" s="10">
        <f>ROUNDDOWN(SUM(B123:B$179)*B$6/12*3,0)</f>
        <v>0</v>
      </c>
      <c r="E123" s="10">
        <f t="shared" si="15"/>
        <v>0</v>
      </c>
      <c r="F123" s="10"/>
      <c r="G123" s="10">
        <f t="shared" si="11"/>
        <v>0</v>
      </c>
      <c r="H123" s="20"/>
    </row>
    <row r="124" spans="1:8" ht="17.25" customHeight="1">
      <c r="A124" s="30">
        <v>25</v>
      </c>
      <c r="B124" s="10">
        <f t="shared" si="14"/>
        <v>0</v>
      </c>
      <c r="C124" s="10">
        <f t="shared" si="12"/>
        <v>0</v>
      </c>
      <c r="D124" s="10">
        <f>ROUNDDOWN(SUM(B124:B$179)*B$6/12*3,0)</f>
        <v>0</v>
      </c>
      <c r="E124" s="10">
        <f t="shared" si="15"/>
        <v>0</v>
      </c>
      <c r="F124" s="10"/>
      <c r="G124" s="10">
        <f t="shared" si="11"/>
        <v>0</v>
      </c>
      <c r="H124" s="20"/>
    </row>
    <row r="125" spans="1:8" ht="17.25" customHeight="1">
      <c r="A125" s="30">
        <v>26</v>
      </c>
      <c r="B125" s="10">
        <f t="shared" si="14"/>
        <v>0</v>
      </c>
      <c r="C125" s="10">
        <f t="shared" si="12"/>
        <v>0</v>
      </c>
      <c r="D125" s="10">
        <f>ROUNDDOWN(SUM(B125:B$179)*B$6/12*3,0)</f>
        <v>0</v>
      </c>
      <c r="E125" s="10">
        <f t="shared" si="15"/>
        <v>0</v>
      </c>
      <c r="F125" s="10"/>
      <c r="G125" s="10">
        <f t="shared" si="11"/>
        <v>0</v>
      </c>
      <c r="H125" s="20"/>
    </row>
    <row r="126" spans="1:8" ht="17.25" customHeight="1">
      <c r="A126" s="30">
        <v>27</v>
      </c>
      <c r="B126" s="10">
        <f t="shared" si="14"/>
        <v>0</v>
      </c>
      <c r="C126" s="10">
        <f t="shared" si="12"/>
        <v>0</v>
      </c>
      <c r="D126" s="10">
        <f>ROUNDDOWN(SUM(B126:B$179)*B$6/12*3,0)</f>
        <v>0</v>
      </c>
      <c r="E126" s="10">
        <f t="shared" si="15"/>
        <v>0</v>
      </c>
      <c r="F126" s="10"/>
      <c r="G126" s="10">
        <f t="shared" si="11"/>
        <v>0</v>
      </c>
      <c r="H126" s="20"/>
    </row>
    <row r="127" spans="1:8" ht="17.25" customHeight="1">
      <c r="A127" s="30">
        <v>28</v>
      </c>
      <c r="B127" s="10">
        <f t="shared" si="14"/>
        <v>0</v>
      </c>
      <c r="C127" s="10">
        <f t="shared" si="12"/>
        <v>0</v>
      </c>
      <c r="D127" s="10">
        <f>ROUNDDOWN(SUM(B127:B$179)*B$6/12*3,0)</f>
        <v>0</v>
      </c>
      <c r="E127" s="10">
        <f t="shared" si="15"/>
        <v>0</v>
      </c>
      <c r="F127" s="10"/>
      <c r="G127" s="10">
        <f t="shared" si="11"/>
        <v>0</v>
      </c>
      <c r="H127" s="20"/>
    </row>
    <row r="128" spans="1:8" ht="17.25" hidden="1" customHeight="1">
      <c r="A128" s="30">
        <v>29</v>
      </c>
      <c r="B128" s="10">
        <f t="shared" si="14"/>
        <v>0</v>
      </c>
      <c r="C128" s="10">
        <f t="shared" si="12"/>
        <v>0</v>
      </c>
      <c r="D128" s="10">
        <f>ROUNDDOWN(SUM(B128:B$179)*B$6/12*3,0)</f>
        <v>0</v>
      </c>
      <c r="E128" s="10">
        <f t="shared" si="15"/>
        <v>0</v>
      </c>
      <c r="F128" s="10"/>
      <c r="G128" s="10">
        <f t="shared" si="11"/>
        <v>0</v>
      </c>
      <c r="H128" s="20"/>
    </row>
    <row r="129" spans="1:8" ht="17.25" hidden="1" customHeight="1">
      <c r="A129" s="30">
        <v>30</v>
      </c>
      <c r="B129" s="10">
        <f t="shared" si="14"/>
        <v>0</v>
      </c>
      <c r="C129" s="10">
        <f t="shared" si="12"/>
        <v>0</v>
      </c>
      <c r="D129" s="10">
        <f>ROUNDDOWN(SUM(B129:B$179)*B$6/12*3,0)</f>
        <v>0</v>
      </c>
      <c r="E129" s="10">
        <f t="shared" si="15"/>
        <v>0</v>
      </c>
      <c r="F129" s="10"/>
      <c r="G129" s="10">
        <f t="shared" si="11"/>
        <v>0</v>
      </c>
      <c r="H129" s="20"/>
    </row>
    <row r="130" spans="1:8" ht="17.25" hidden="1" customHeight="1">
      <c r="A130" s="30">
        <v>31</v>
      </c>
      <c r="B130" s="10">
        <f t="shared" si="14"/>
        <v>0</v>
      </c>
      <c r="C130" s="10">
        <f t="shared" si="12"/>
        <v>0</v>
      </c>
      <c r="D130" s="10">
        <f>ROUNDDOWN(SUM(B130:B$179)*B$6/12*3,0)</f>
        <v>0</v>
      </c>
      <c r="E130" s="10">
        <f t="shared" si="15"/>
        <v>0</v>
      </c>
      <c r="F130" s="10"/>
      <c r="G130" s="10">
        <f t="shared" si="11"/>
        <v>0</v>
      </c>
      <c r="H130" s="20"/>
    </row>
    <row r="131" spans="1:8" ht="17.25" hidden="1" customHeight="1">
      <c r="A131" s="30">
        <v>32</v>
      </c>
      <c r="B131" s="10">
        <f t="shared" si="14"/>
        <v>0</v>
      </c>
      <c r="C131" s="10">
        <f t="shared" si="12"/>
        <v>0</v>
      </c>
      <c r="D131" s="10">
        <f>ROUNDDOWN(SUM(B131:B$179)*B$6/12*3,0)</f>
        <v>0</v>
      </c>
      <c r="E131" s="10">
        <f t="shared" si="15"/>
        <v>0</v>
      </c>
      <c r="F131" s="10"/>
      <c r="G131" s="10">
        <f t="shared" si="11"/>
        <v>0</v>
      </c>
      <c r="H131" s="20"/>
    </row>
    <row r="132" spans="1:8" ht="17.25" hidden="1" customHeight="1">
      <c r="A132" s="30">
        <v>33</v>
      </c>
      <c r="B132" s="10">
        <f t="shared" si="14"/>
        <v>0</v>
      </c>
      <c r="C132" s="10">
        <f t="shared" si="12"/>
        <v>0</v>
      </c>
      <c r="D132" s="10">
        <f>ROUNDDOWN(SUM(B132:B$179)*B$6/12*3,0)</f>
        <v>0</v>
      </c>
      <c r="E132" s="10">
        <f t="shared" si="15"/>
        <v>0</v>
      </c>
      <c r="F132" s="10"/>
      <c r="G132" s="10">
        <f t="shared" ref="G132:G180" si="16">SUM(B132:F132)</f>
        <v>0</v>
      </c>
      <c r="H132" s="20"/>
    </row>
    <row r="133" spans="1:8" ht="17.25" hidden="1" customHeight="1">
      <c r="A133" s="30">
        <v>34</v>
      </c>
      <c r="B133" s="10">
        <f t="shared" si="14"/>
        <v>0</v>
      </c>
      <c r="C133" s="10">
        <f t="shared" si="12"/>
        <v>0</v>
      </c>
      <c r="D133" s="10">
        <f>ROUNDDOWN(SUM(B133:B$179)*B$6/12*3,0)</f>
        <v>0</v>
      </c>
      <c r="E133" s="10">
        <f t="shared" si="15"/>
        <v>0</v>
      </c>
      <c r="F133" s="10"/>
      <c r="G133" s="10">
        <f t="shared" si="16"/>
        <v>0</v>
      </c>
      <c r="H133" s="20"/>
    </row>
    <row r="134" spans="1:8" ht="17.25" hidden="1" customHeight="1">
      <c r="A134" s="30">
        <v>35</v>
      </c>
      <c r="B134" s="10">
        <f t="shared" si="14"/>
        <v>0</v>
      </c>
      <c r="C134" s="10">
        <f t="shared" si="12"/>
        <v>0</v>
      </c>
      <c r="D134" s="10">
        <f>ROUNDDOWN(SUM(B134:B$179)*B$6/12*3,0)</f>
        <v>0</v>
      </c>
      <c r="E134" s="10">
        <f t="shared" si="15"/>
        <v>0</v>
      </c>
      <c r="F134" s="10"/>
      <c r="G134" s="10">
        <f t="shared" si="16"/>
        <v>0</v>
      </c>
      <c r="H134" s="20"/>
    </row>
    <row r="135" spans="1:8" ht="17.25" hidden="1" customHeight="1">
      <c r="A135" s="30">
        <v>36</v>
      </c>
      <c r="B135" s="10">
        <f t="shared" si="14"/>
        <v>0</v>
      </c>
      <c r="C135" s="10">
        <f t="shared" si="12"/>
        <v>0</v>
      </c>
      <c r="D135" s="10">
        <f>ROUNDDOWN(SUM(B135:B$179)*B$6/12*3,0)</f>
        <v>0</v>
      </c>
      <c r="E135" s="10">
        <f t="shared" si="15"/>
        <v>0</v>
      </c>
      <c r="F135" s="10"/>
      <c r="G135" s="10">
        <f t="shared" si="16"/>
        <v>0</v>
      </c>
      <c r="H135" s="20"/>
    </row>
    <row r="136" spans="1:8" ht="17.25" hidden="1" customHeight="1">
      <c r="A136" s="30">
        <v>37</v>
      </c>
      <c r="B136" s="10">
        <f t="shared" si="14"/>
        <v>0</v>
      </c>
      <c r="C136" s="10">
        <f t="shared" si="12"/>
        <v>0</v>
      </c>
      <c r="D136" s="10">
        <f>ROUNDDOWN(SUM(B136:B$179)*B$6/12*3,0)</f>
        <v>0</v>
      </c>
      <c r="E136" s="10">
        <f t="shared" si="15"/>
        <v>0</v>
      </c>
      <c r="F136" s="10"/>
      <c r="G136" s="10">
        <f t="shared" si="16"/>
        <v>0</v>
      </c>
      <c r="H136" s="20"/>
    </row>
    <row r="137" spans="1:8" ht="17.25" hidden="1" customHeight="1">
      <c r="A137" s="30">
        <v>38</v>
      </c>
      <c r="B137" s="10">
        <f t="shared" si="14"/>
        <v>0</v>
      </c>
      <c r="C137" s="10">
        <f t="shared" si="12"/>
        <v>0</v>
      </c>
      <c r="D137" s="10">
        <f>ROUNDDOWN(SUM(B137:B$179)*B$6/12*3,0)</f>
        <v>0</v>
      </c>
      <c r="E137" s="10">
        <f t="shared" si="15"/>
        <v>0</v>
      </c>
      <c r="F137" s="10"/>
      <c r="G137" s="10">
        <f t="shared" si="16"/>
        <v>0</v>
      </c>
      <c r="H137" s="20"/>
    </row>
    <row r="138" spans="1:8" ht="17.25" hidden="1" customHeight="1">
      <c r="A138" s="30">
        <v>39</v>
      </c>
      <c r="B138" s="10">
        <f t="shared" si="14"/>
        <v>0</v>
      </c>
      <c r="C138" s="10">
        <f t="shared" si="12"/>
        <v>0</v>
      </c>
      <c r="D138" s="10">
        <f>ROUNDDOWN(SUM(B138:B$179)*B$6/12*3,0)</f>
        <v>0</v>
      </c>
      <c r="E138" s="10">
        <f t="shared" si="15"/>
        <v>0</v>
      </c>
      <c r="F138" s="10"/>
      <c r="G138" s="10">
        <f t="shared" si="16"/>
        <v>0</v>
      </c>
      <c r="H138" s="20"/>
    </row>
    <row r="139" spans="1:8" ht="17.25" hidden="1" customHeight="1">
      <c r="A139" s="30">
        <v>40</v>
      </c>
      <c r="B139" s="10">
        <f t="shared" si="14"/>
        <v>0</v>
      </c>
      <c r="C139" s="10">
        <f t="shared" si="12"/>
        <v>0</v>
      </c>
      <c r="D139" s="10">
        <f>ROUNDDOWN(SUM(B139:B$179)*B$6/12*3,0)</f>
        <v>0</v>
      </c>
      <c r="E139" s="10">
        <f t="shared" si="15"/>
        <v>0</v>
      </c>
      <c r="F139" s="10"/>
      <c r="G139" s="10">
        <f t="shared" si="16"/>
        <v>0</v>
      </c>
      <c r="H139" s="20"/>
    </row>
    <row r="140" spans="1:8" ht="17.25" hidden="1" customHeight="1">
      <c r="A140" s="30">
        <v>41</v>
      </c>
      <c r="B140" s="10">
        <f t="shared" si="14"/>
        <v>0</v>
      </c>
      <c r="C140" s="10">
        <f t="shared" si="12"/>
        <v>0</v>
      </c>
      <c r="D140" s="10">
        <f>ROUNDDOWN(SUM(B140:B$179)*B$6/12*3,0)</f>
        <v>0</v>
      </c>
      <c r="E140" s="10">
        <f t="shared" si="15"/>
        <v>0</v>
      </c>
      <c r="F140" s="10"/>
      <c r="G140" s="10">
        <f t="shared" si="16"/>
        <v>0</v>
      </c>
      <c r="H140" s="20"/>
    </row>
    <row r="141" spans="1:8" ht="17.25" hidden="1" customHeight="1">
      <c r="A141" s="30">
        <v>42</v>
      </c>
      <c r="B141" s="10">
        <f t="shared" si="14"/>
        <v>0</v>
      </c>
      <c r="C141" s="10">
        <f t="shared" si="12"/>
        <v>0</v>
      </c>
      <c r="D141" s="10">
        <f>ROUNDDOWN(SUM(B141:B$179)*B$6/12*3,0)</f>
        <v>0</v>
      </c>
      <c r="E141" s="10">
        <f t="shared" si="15"/>
        <v>0</v>
      </c>
      <c r="F141" s="10"/>
      <c r="G141" s="10">
        <f t="shared" si="16"/>
        <v>0</v>
      </c>
      <c r="H141" s="20"/>
    </row>
    <row r="142" spans="1:8" ht="17.25" hidden="1" customHeight="1">
      <c r="A142" s="30">
        <v>43</v>
      </c>
      <c r="B142" s="10">
        <f t="shared" si="14"/>
        <v>0</v>
      </c>
      <c r="C142" s="10">
        <f t="shared" si="12"/>
        <v>0</v>
      </c>
      <c r="D142" s="10">
        <f>ROUNDDOWN(SUM(B142:B$179)*B$6/12*3,0)</f>
        <v>0</v>
      </c>
      <c r="E142" s="10">
        <f t="shared" si="15"/>
        <v>0</v>
      </c>
      <c r="F142" s="10"/>
      <c r="G142" s="10">
        <f t="shared" si="16"/>
        <v>0</v>
      </c>
      <c r="H142" s="20"/>
    </row>
    <row r="143" spans="1:8" ht="17.25" hidden="1" customHeight="1">
      <c r="A143" s="30">
        <v>44</v>
      </c>
      <c r="B143" s="10">
        <f t="shared" si="14"/>
        <v>0</v>
      </c>
      <c r="C143" s="10">
        <f t="shared" si="12"/>
        <v>0</v>
      </c>
      <c r="D143" s="10">
        <f>ROUNDDOWN(SUM(B143:B$179)*B$6/12*3,0)</f>
        <v>0</v>
      </c>
      <c r="E143" s="10">
        <f t="shared" ref="E143:E174" si="17">IF($D$5=A143,$G$92,G56)</f>
        <v>0</v>
      </c>
      <c r="F143" s="10"/>
      <c r="G143" s="10">
        <f t="shared" si="16"/>
        <v>0</v>
      </c>
      <c r="H143" s="20"/>
    </row>
    <row r="144" spans="1:8" ht="17.25" hidden="1" customHeight="1">
      <c r="A144" s="30">
        <v>45</v>
      </c>
      <c r="B144" s="10">
        <f t="shared" si="14"/>
        <v>0</v>
      </c>
      <c r="C144" s="10">
        <f t="shared" si="12"/>
        <v>0</v>
      </c>
      <c r="D144" s="10">
        <f>ROUNDDOWN(SUM(B144:B$179)*B$6/12*3,0)</f>
        <v>0</v>
      </c>
      <c r="E144" s="10">
        <f t="shared" si="17"/>
        <v>0</v>
      </c>
      <c r="F144" s="10"/>
      <c r="G144" s="10">
        <f t="shared" si="16"/>
        <v>0</v>
      </c>
      <c r="H144" s="20"/>
    </row>
    <row r="145" spans="1:8" ht="17.25" hidden="1" customHeight="1">
      <c r="A145" s="30">
        <v>46</v>
      </c>
      <c r="B145" s="10">
        <f t="shared" si="14"/>
        <v>0</v>
      </c>
      <c r="C145" s="10">
        <f t="shared" si="12"/>
        <v>0</v>
      </c>
      <c r="D145" s="10">
        <f>ROUNDDOWN(SUM(B145:B$179)*B$6/12*3,0)</f>
        <v>0</v>
      </c>
      <c r="E145" s="10">
        <f t="shared" si="17"/>
        <v>0</v>
      </c>
      <c r="F145" s="10"/>
      <c r="G145" s="10">
        <f t="shared" si="16"/>
        <v>0</v>
      </c>
      <c r="H145" s="20"/>
    </row>
    <row r="146" spans="1:8" ht="17.25" hidden="1" customHeight="1">
      <c r="A146" s="30">
        <v>47</v>
      </c>
      <c r="B146" s="10">
        <f t="shared" si="14"/>
        <v>0</v>
      </c>
      <c r="C146" s="10">
        <f t="shared" si="12"/>
        <v>0</v>
      </c>
      <c r="D146" s="10">
        <f>ROUNDDOWN(SUM(B146:B$179)*B$6/12*3,0)</f>
        <v>0</v>
      </c>
      <c r="E146" s="10">
        <f t="shared" si="17"/>
        <v>0</v>
      </c>
      <c r="F146" s="10"/>
      <c r="G146" s="10">
        <f t="shared" si="16"/>
        <v>0</v>
      </c>
      <c r="H146" s="20"/>
    </row>
    <row r="147" spans="1:8" ht="17.25" hidden="1" customHeight="1">
      <c r="A147" s="30">
        <v>48</v>
      </c>
      <c r="B147" s="10">
        <f t="shared" si="14"/>
        <v>0</v>
      </c>
      <c r="C147" s="10">
        <f t="shared" si="12"/>
        <v>0</v>
      </c>
      <c r="D147" s="10">
        <f>ROUNDDOWN(SUM(B147:B$179)*B$6/12*3,0)</f>
        <v>0</v>
      </c>
      <c r="E147" s="10">
        <f t="shared" si="17"/>
        <v>0</v>
      </c>
      <c r="F147" s="10"/>
      <c r="G147" s="10">
        <f t="shared" si="16"/>
        <v>0</v>
      </c>
      <c r="H147" s="20"/>
    </row>
    <row r="148" spans="1:8" ht="17.25" hidden="1" customHeight="1">
      <c r="A148" s="30">
        <v>49</v>
      </c>
      <c r="B148" s="10">
        <f t="shared" si="14"/>
        <v>0</v>
      </c>
      <c r="C148" s="10">
        <f t="shared" si="12"/>
        <v>0</v>
      </c>
      <c r="D148" s="10">
        <f>ROUNDDOWN(SUM(B148:B$179)*B$6/12*3,0)</f>
        <v>0</v>
      </c>
      <c r="E148" s="10">
        <f t="shared" si="17"/>
        <v>0</v>
      </c>
      <c r="F148" s="10"/>
      <c r="G148" s="10">
        <f t="shared" si="16"/>
        <v>0</v>
      </c>
      <c r="H148" s="20"/>
    </row>
    <row r="149" spans="1:8" ht="17.25" hidden="1" customHeight="1">
      <c r="A149" s="30">
        <v>50</v>
      </c>
      <c r="B149" s="10">
        <f t="shared" si="14"/>
        <v>0</v>
      </c>
      <c r="C149" s="10">
        <f t="shared" si="12"/>
        <v>0</v>
      </c>
      <c r="D149" s="10">
        <f>ROUNDDOWN(SUM(B149:B$179)*B$6/12*3,0)</f>
        <v>0</v>
      </c>
      <c r="E149" s="10">
        <f t="shared" si="17"/>
        <v>0</v>
      </c>
      <c r="F149" s="10"/>
      <c r="G149" s="10">
        <f t="shared" si="16"/>
        <v>0</v>
      </c>
      <c r="H149" s="20"/>
    </row>
    <row r="150" spans="1:8" ht="17.25" hidden="1" customHeight="1">
      <c r="A150" s="30">
        <v>51</v>
      </c>
      <c r="B150" s="10">
        <f t="shared" si="14"/>
        <v>0</v>
      </c>
      <c r="C150" s="10">
        <f t="shared" si="12"/>
        <v>0</v>
      </c>
      <c r="D150" s="10">
        <f>ROUNDDOWN(SUM(B150:B$179)*B$6/12*3,0)</f>
        <v>0</v>
      </c>
      <c r="E150" s="10">
        <f t="shared" si="17"/>
        <v>0</v>
      </c>
      <c r="F150" s="10"/>
      <c r="G150" s="10">
        <f t="shared" si="16"/>
        <v>0</v>
      </c>
      <c r="H150" s="20"/>
    </row>
    <row r="151" spans="1:8" ht="17.25" hidden="1" customHeight="1">
      <c r="A151" s="30">
        <v>52</v>
      </c>
      <c r="B151" s="10">
        <f t="shared" si="14"/>
        <v>0</v>
      </c>
      <c r="C151" s="10">
        <f t="shared" si="12"/>
        <v>0</v>
      </c>
      <c r="D151" s="10">
        <f>ROUNDDOWN(SUM(B151:B$179)*B$6/12*3,0)</f>
        <v>0</v>
      </c>
      <c r="E151" s="10">
        <f t="shared" si="17"/>
        <v>0</v>
      </c>
      <c r="F151" s="10"/>
      <c r="G151" s="10">
        <f t="shared" si="16"/>
        <v>0</v>
      </c>
      <c r="H151" s="20"/>
    </row>
    <row r="152" spans="1:8" ht="17.25" hidden="1" customHeight="1">
      <c r="A152" s="30">
        <v>53</v>
      </c>
      <c r="B152" s="10">
        <f t="shared" si="14"/>
        <v>0</v>
      </c>
      <c r="C152" s="10">
        <f t="shared" si="12"/>
        <v>0</v>
      </c>
      <c r="D152" s="10">
        <f>ROUNDDOWN(SUM(B152:B$179)*B$6/12*3,0)</f>
        <v>0</v>
      </c>
      <c r="E152" s="10">
        <f t="shared" si="17"/>
        <v>0</v>
      </c>
      <c r="F152" s="10"/>
      <c r="G152" s="10">
        <f t="shared" si="16"/>
        <v>0</v>
      </c>
      <c r="H152" s="20"/>
    </row>
    <row r="153" spans="1:8" ht="17.25" hidden="1" customHeight="1">
      <c r="A153" s="30">
        <v>54</v>
      </c>
      <c r="B153" s="10">
        <f t="shared" si="14"/>
        <v>0</v>
      </c>
      <c r="C153" s="10">
        <f t="shared" si="12"/>
        <v>0</v>
      </c>
      <c r="D153" s="10">
        <f>ROUNDDOWN(SUM(B153:B$179)*B$6/12*3,0)</f>
        <v>0</v>
      </c>
      <c r="E153" s="10">
        <f t="shared" si="17"/>
        <v>0</v>
      </c>
      <c r="F153" s="10"/>
      <c r="G153" s="10">
        <f t="shared" si="16"/>
        <v>0</v>
      </c>
      <c r="H153" s="20"/>
    </row>
    <row r="154" spans="1:8" ht="17.25" hidden="1" customHeight="1">
      <c r="A154" s="30">
        <v>55</v>
      </c>
      <c r="B154" s="10">
        <f t="shared" si="14"/>
        <v>0</v>
      </c>
      <c r="C154" s="10">
        <f t="shared" si="12"/>
        <v>0</v>
      </c>
      <c r="D154" s="10">
        <f>ROUNDDOWN(SUM(B154:B$179)*B$6/12*3,0)</f>
        <v>0</v>
      </c>
      <c r="E154" s="10">
        <f t="shared" si="17"/>
        <v>0</v>
      </c>
      <c r="F154" s="10"/>
      <c r="G154" s="10">
        <f t="shared" si="16"/>
        <v>0</v>
      </c>
      <c r="H154" s="20"/>
    </row>
    <row r="155" spans="1:8" ht="17.25" hidden="1" customHeight="1">
      <c r="A155" s="30">
        <v>56</v>
      </c>
      <c r="B155" s="10">
        <f t="shared" si="14"/>
        <v>0</v>
      </c>
      <c r="C155" s="10">
        <f t="shared" si="12"/>
        <v>0</v>
      </c>
      <c r="D155" s="10">
        <f>ROUNDDOWN(SUM(B155:B$179)*B$6/12*3,0)</f>
        <v>0</v>
      </c>
      <c r="E155" s="10">
        <f t="shared" si="17"/>
        <v>0</v>
      </c>
      <c r="F155" s="10"/>
      <c r="G155" s="10">
        <f t="shared" si="16"/>
        <v>0</v>
      </c>
      <c r="H155" s="20"/>
    </row>
    <row r="156" spans="1:8" ht="17.25" hidden="1" customHeight="1">
      <c r="A156" s="30">
        <v>57</v>
      </c>
      <c r="B156" s="10">
        <f t="shared" si="14"/>
        <v>0</v>
      </c>
      <c r="C156" s="10">
        <f t="shared" si="12"/>
        <v>0</v>
      </c>
      <c r="D156" s="10">
        <f>ROUNDDOWN(SUM(B156:B$179)*B$6/12*3,0)</f>
        <v>0</v>
      </c>
      <c r="E156" s="10">
        <f t="shared" si="17"/>
        <v>0</v>
      </c>
      <c r="F156" s="10"/>
      <c r="G156" s="10">
        <f t="shared" si="16"/>
        <v>0</v>
      </c>
      <c r="H156" s="20"/>
    </row>
    <row r="157" spans="1:8" ht="17.25" hidden="1" customHeight="1">
      <c r="A157" s="30">
        <v>58</v>
      </c>
      <c r="B157" s="10">
        <f t="shared" si="14"/>
        <v>0</v>
      </c>
      <c r="C157" s="10">
        <f t="shared" si="12"/>
        <v>0</v>
      </c>
      <c r="D157" s="10">
        <f>ROUNDDOWN(SUM(B157:B$179)*B$6/12*3,0)</f>
        <v>0</v>
      </c>
      <c r="E157" s="10">
        <f t="shared" si="17"/>
        <v>0</v>
      </c>
      <c r="F157" s="10"/>
      <c r="G157" s="10">
        <f t="shared" si="16"/>
        <v>0</v>
      </c>
      <c r="H157" s="20"/>
    </row>
    <row r="158" spans="1:8" ht="17.25" hidden="1" customHeight="1">
      <c r="A158" s="30">
        <v>59</v>
      </c>
      <c r="B158" s="10">
        <f t="shared" si="14"/>
        <v>0</v>
      </c>
      <c r="C158" s="10">
        <f t="shared" si="12"/>
        <v>0</v>
      </c>
      <c r="D158" s="10">
        <f>ROUNDDOWN(SUM(B158:B$179)*B$6/12*3,0)</f>
        <v>0</v>
      </c>
      <c r="E158" s="10">
        <f t="shared" si="17"/>
        <v>0</v>
      </c>
      <c r="F158" s="10"/>
      <c r="G158" s="10">
        <f t="shared" si="16"/>
        <v>0</v>
      </c>
      <c r="H158" s="20"/>
    </row>
    <row r="159" spans="1:8" ht="17.25" hidden="1" customHeight="1">
      <c r="A159" s="30">
        <v>60</v>
      </c>
      <c r="B159" s="10">
        <f t="shared" si="14"/>
        <v>0</v>
      </c>
      <c r="C159" s="10">
        <f t="shared" si="12"/>
        <v>0</v>
      </c>
      <c r="D159" s="10">
        <f>ROUNDDOWN(SUM(B159:B$179)*B$6/12*3,0)</f>
        <v>0</v>
      </c>
      <c r="E159" s="10">
        <f t="shared" si="17"/>
        <v>0</v>
      </c>
      <c r="F159" s="10"/>
      <c r="G159" s="10">
        <f t="shared" si="16"/>
        <v>0</v>
      </c>
      <c r="H159" s="20"/>
    </row>
    <row r="160" spans="1:8" ht="17.25" hidden="1" customHeight="1">
      <c r="A160" s="30">
        <v>61</v>
      </c>
      <c r="B160" s="10">
        <f t="shared" si="14"/>
        <v>0</v>
      </c>
      <c r="C160" s="10">
        <f t="shared" si="12"/>
        <v>0</v>
      </c>
      <c r="D160" s="10">
        <f>ROUNDDOWN(SUM(B160:B$179)*B$6/12*3,0)</f>
        <v>0</v>
      </c>
      <c r="E160" s="10">
        <f t="shared" si="17"/>
        <v>0</v>
      </c>
      <c r="F160" s="10"/>
      <c r="G160" s="10">
        <f t="shared" si="16"/>
        <v>0</v>
      </c>
      <c r="H160" s="20"/>
    </row>
    <row r="161" spans="1:8" ht="17.25" hidden="1" customHeight="1">
      <c r="A161" s="30">
        <v>62</v>
      </c>
      <c r="B161" s="10">
        <f t="shared" si="14"/>
        <v>0</v>
      </c>
      <c r="C161" s="10">
        <f t="shared" si="12"/>
        <v>0</v>
      </c>
      <c r="D161" s="10">
        <f>ROUNDDOWN(SUM(B161:B$179)*B$6/12*3,0)</f>
        <v>0</v>
      </c>
      <c r="E161" s="10">
        <f t="shared" si="17"/>
        <v>0</v>
      </c>
      <c r="F161" s="10"/>
      <c r="G161" s="10">
        <f t="shared" si="16"/>
        <v>0</v>
      </c>
      <c r="H161" s="20"/>
    </row>
    <row r="162" spans="1:8" ht="17.25" hidden="1" customHeight="1">
      <c r="A162" s="30">
        <v>63</v>
      </c>
      <c r="B162" s="10">
        <f t="shared" si="14"/>
        <v>0</v>
      </c>
      <c r="C162" s="10">
        <f t="shared" si="12"/>
        <v>0</v>
      </c>
      <c r="D162" s="10">
        <f>ROUNDDOWN(SUM(B162:B$179)*B$6/12*3,0)</f>
        <v>0</v>
      </c>
      <c r="E162" s="10">
        <f t="shared" si="17"/>
        <v>0</v>
      </c>
      <c r="F162" s="10"/>
      <c r="G162" s="10">
        <f t="shared" si="16"/>
        <v>0</v>
      </c>
      <c r="H162" s="20"/>
    </row>
    <row r="163" spans="1:8" ht="17.25" hidden="1" customHeight="1">
      <c r="A163" s="30">
        <v>64</v>
      </c>
      <c r="B163" s="10">
        <f t="shared" si="14"/>
        <v>0</v>
      </c>
      <c r="C163" s="10">
        <f t="shared" si="12"/>
        <v>0</v>
      </c>
      <c r="D163" s="10">
        <f>ROUNDDOWN(SUM(B163:B$179)*B$6/12*3,0)</f>
        <v>0</v>
      </c>
      <c r="E163" s="10">
        <f t="shared" si="17"/>
        <v>0</v>
      </c>
      <c r="F163" s="10"/>
      <c r="G163" s="10">
        <f t="shared" si="16"/>
        <v>0</v>
      </c>
      <c r="H163" s="20"/>
    </row>
    <row r="164" spans="1:8" ht="17.25" hidden="1" customHeight="1">
      <c r="A164" s="30">
        <v>65</v>
      </c>
      <c r="B164" s="10">
        <f t="shared" si="14"/>
        <v>0</v>
      </c>
      <c r="C164" s="10">
        <f t="shared" si="12"/>
        <v>0</v>
      </c>
      <c r="D164" s="10">
        <f>ROUNDDOWN(SUM(B164:B$179)*B$6/12*3,0)</f>
        <v>0</v>
      </c>
      <c r="E164" s="10">
        <f t="shared" si="17"/>
        <v>0</v>
      </c>
      <c r="F164" s="10"/>
      <c r="G164" s="10">
        <f t="shared" si="16"/>
        <v>0</v>
      </c>
      <c r="H164" s="20"/>
    </row>
    <row r="165" spans="1:8" ht="17.25" hidden="1" customHeight="1">
      <c r="A165" s="30">
        <v>66</v>
      </c>
      <c r="B165" s="10">
        <f t="shared" si="14"/>
        <v>0</v>
      </c>
      <c r="C165" s="10">
        <f t="shared" ref="C165:C180" si="18">ROUNDDOWN(B165*0.1,0)</f>
        <v>0</v>
      </c>
      <c r="D165" s="10">
        <f>ROUNDDOWN(SUM(B165:B$179)*B$6/12*3,0)</f>
        <v>0</v>
      </c>
      <c r="E165" s="10">
        <f t="shared" si="17"/>
        <v>0</v>
      </c>
      <c r="F165" s="10"/>
      <c r="G165" s="10">
        <f t="shared" si="16"/>
        <v>0</v>
      </c>
      <c r="H165" s="20"/>
    </row>
    <row r="166" spans="1:8" ht="17.25" hidden="1" customHeight="1">
      <c r="A166" s="30">
        <v>67</v>
      </c>
      <c r="B166" s="10">
        <f t="shared" si="14"/>
        <v>0</v>
      </c>
      <c r="C166" s="10">
        <f t="shared" si="18"/>
        <v>0</v>
      </c>
      <c r="D166" s="10">
        <f>ROUNDDOWN(SUM(B166:B$179)*B$6/12*3,0)</f>
        <v>0</v>
      </c>
      <c r="E166" s="10">
        <f t="shared" si="17"/>
        <v>0</v>
      </c>
      <c r="F166" s="10"/>
      <c r="G166" s="10">
        <f t="shared" si="16"/>
        <v>0</v>
      </c>
      <c r="H166" s="20"/>
    </row>
    <row r="167" spans="1:8" ht="17.25" hidden="1" customHeight="1">
      <c r="A167" s="30">
        <v>68</v>
      </c>
      <c r="B167" s="10">
        <f t="shared" ref="B167:B179" si="19">IF($D$5&lt;A167,0,$E$8)</f>
        <v>0</v>
      </c>
      <c r="C167" s="10">
        <f t="shared" si="18"/>
        <v>0</v>
      </c>
      <c r="D167" s="10">
        <f>ROUNDDOWN(SUM(B167:B$179)*B$6/12*3,0)</f>
        <v>0</v>
      </c>
      <c r="E167" s="10">
        <f t="shared" si="17"/>
        <v>0</v>
      </c>
      <c r="F167" s="10"/>
      <c r="G167" s="10">
        <f t="shared" si="16"/>
        <v>0</v>
      </c>
      <c r="H167" s="20"/>
    </row>
    <row r="168" spans="1:8" ht="17.25" hidden="1" customHeight="1">
      <c r="A168" s="30">
        <v>69</v>
      </c>
      <c r="B168" s="10">
        <f t="shared" si="19"/>
        <v>0</v>
      </c>
      <c r="C168" s="10">
        <f t="shared" si="18"/>
        <v>0</v>
      </c>
      <c r="D168" s="10">
        <f>ROUNDDOWN(SUM(B168:B$179)*B$6/12*3,0)</f>
        <v>0</v>
      </c>
      <c r="E168" s="10">
        <f t="shared" si="17"/>
        <v>0</v>
      </c>
      <c r="F168" s="10"/>
      <c r="G168" s="10">
        <f t="shared" si="16"/>
        <v>0</v>
      </c>
      <c r="H168" s="20"/>
    </row>
    <row r="169" spans="1:8" ht="17.25" hidden="1" customHeight="1">
      <c r="A169" s="30">
        <v>70</v>
      </c>
      <c r="B169" s="10">
        <f t="shared" si="19"/>
        <v>0</v>
      </c>
      <c r="C169" s="10">
        <f t="shared" si="18"/>
        <v>0</v>
      </c>
      <c r="D169" s="10">
        <f>ROUNDDOWN(SUM(B169:B$179)*B$6/12*3,0)</f>
        <v>0</v>
      </c>
      <c r="E169" s="10">
        <f t="shared" si="17"/>
        <v>0</v>
      </c>
      <c r="F169" s="10"/>
      <c r="G169" s="10">
        <f t="shared" si="16"/>
        <v>0</v>
      </c>
      <c r="H169" s="20"/>
    </row>
    <row r="170" spans="1:8" ht="17.25" hidden="1" customHeight="1">
      <c r="A170" s="30">
        <v>71</v>
      </c>
      <c r="B170" s="10">
        <f t="shared" si="19"/>
        <v>0</v>
      </c>
      <c r="C170" s="10">
        <f t="shared" si="18"/>
        <v>0</v>
      </c>
      <c r="D170" s="10">
        <f>ROUNDDOWN(SUM(B170:B$179)*B$6/12*3,0)</f>
        <v>0</v>
      </c>
      <c r="E170" s="10">
        <f t="shared" si="17"/>
        <v>0</v>
      </c>
      <c r="F170" s="10"/>
      <c r="G170" s="10">
        <f t="shared" si="16"/>
        <v>0</v>
      </c>
      <c r="H170" s="20"/>
    </row>
    <row r="171" spans="1:8" ht="17.25" hidden="1" customHeight="1">
      <c r="A171" s="30">
        <v>72</v>
      </c>
      <c r="B171" s="10">
        <f t="shared" si="19"/>
        <v>0</v>
      </c>
      <c r="C171" s="10">
        <f t="shared" si="18"/>
        <v>0</v>
      </c>
      <c r="D171" s="10">
        <f>ROUNDDOWN(SUM(B171:B$179)*B$6/12*3,0)</f>
        <v>0</v>
      </c>
      <c r="E171" s="10">
        <f t="shared" si="17"/>
        <v>0</v>
      </c>
      <c r="F171" s="10"/>
      <c r="G171" s="10">
        <f t="shared" si="16"/>
        <v>0</v>
      </c>
      <c r="H171" s="20"/>
    </row>
    <row r="172" spans="1:8" ht="17.25" hidden="1" customHeight="1">
      <c r="A172" s="30">
        <v>73</v>
      </c>
      <c r="B172" s="10">
        <f t="shared" si="19"/>
        <v>0</v>
      </c>
      <c r="C172" s="10">
        <f t="shared" si="18"/>
        <v>0</v>
      </c>
      <c r="D172" s="10">
        <f>ROUNDDOWN(SUM(B172:B$179)*B$6/12*3,0)</f>
        <v>0</v>
      </c>
      <c r="E172" s="10">
        <f t="shared" si="17"/>
        <v>0</v>
      </c>
      <c r="F172" s="10"/>
      <c r="G172" s="10">
        <f t="shared" si="16"/>
        <v>0</v>
      </c>
      <c r="H172" s="20"/>
    </row>
    <row r="173" spans="1:8" ht="17.25" hidden="1" customHeight="1">
      <c r="A173" s="30">
        <v>74</v>
      </c>
      <c r="B173" s="10">
        <f t="shared" si="19"/>
        <v>0</v>
      </c>
      <c r="C173" s="10">
        <f t="shared" si="18"/>
        <v>0</v>
      </c>
      <c r="D173" s="10">
        <f>ROUNDDOWN(SUM(B173:B$179)*B$6/12*3,0)</f>
        <v>0</v>
      </c>
      <c r="E173" s="10">
        <f t="shared" si="17"/>
        <v>0</v>
      </c>
      <c r="F173" s="10"/>
      <c r="G173" s="10">
        <f t="shared" si="16"/>
        <v>0</v>
      </c>
      <c r="H173" s="20"/>
    </row>
    <row r="174" spans="1:8" ht="17.25" hidden="1" customHeight="1">
      <c r="A174" s="30">
        <v>75</v>
      </c>
      <c r="B174" s="10">
        <f t="shared" si="19"/>
        <v>0</v>
      </c>
      <c r="C174" s="10">
        <f t="shared" si="18"/>
        <v>0</v>
      </c>
      <c r="D174" s="10">
        <f>ROUNDDOWN(SUM(B174:B$179)*B$6/12*3,0)</f>
        <v>0</v>
      </c>
      <c r="E174" s="10">
        <f t="shared" si="17"/>
        <v>0</v>
      </c>
      <c r="F174" s="10"/>
      <c r="G174" s="10">
        <f t="shared" si="16"/>
        <v>0</v>
      </c>
      <c r="H174" s="20"/>
    </row>
    <row r="175" spans="1:8" ht="17.25" hidden="1" customHeight="1">
      <c r="A175" s="30">
        <v>76</v>
      </c>
      <c r="B175" s="10">
        <f t="shared" si="19"/>
        <v>0</v>
      </c>
      <c r="C175" s="10">
        <f t="shared" si="18"/>
        <v>0</v>
      </c>
      <c r="D175" s="10">
        <f>ROUNDDOWN(SUM(B175:B$179)*B$6/12*3,0)</f>
        <v>0</v>
      </c>
      <c r="E175" s="10">
        <f t="shared" ref="E175:E178" si="20">IF($D$5=A175,$G$92,G88)</f>
        <v>0</v>
      </c>
      <c r="F175" s="10"/>
      <c r="G175" s="10">
        <f t="shared" si="16"/>
        <v>0</v>
      </c>
      <c r="H175" s="20"/>
    </row>
    <row r="176" spans="1:8" ht="17.25" hidden="1" customHeight="1">
      <c r="A176" s="30">
        <v>77</v>
      </c>
      <c r="B176" s="10">
        <f t="shared" si="19"/>
        <v>0</v>
      </c>
      <c r="C176" s="10">
        <f t="shared" si="18"/>
        <v>0</v>
      </c>
      <c r="D176" s="10">
        <f>ROUNDDOWN(SUM(B176:B$179)*B$6/12*3,0)</f>
        <v>0</v>
      </c>
      <c r="E176" s="10">
        <f t="shared" si="20"/>
        <v>0</v>
      </c>
      <c r="F176" s="10"/>
      <c r="G176" s="10">
        <f t="shared" si="16"/>
        <v>0</v>
      </c>
      <c r="H176" s="20"/>
    </row>
    <row r="177" spans="1:8" ht="17.25" hidden="1" customHeight="1">
      <c r="A177" s="30">
        <v>78</v>
      </c>
      <c r="B177" s="10">
        <f t="shared" si="19"/>
        <v>0</v>
      </c>
      <c r="C177" s="10">
        <f t="shared" si="18"/>
        <v>0</v>
      </c>
      <c r="D177" s="10">
        <f>ROUNDDOWN(SUM(B177:B$179)*B$6/12*3,0)</f>
        <v>0</v>
      </c>
      <c r="E177" s="10">
        <f t="shared" si="20"/>
        <v>0</v>
      </c>
      <c r="F177" s="10"/>
      <c r="G177" s="10">
        <f t="shared" si="16"/>
        <v>0</v>
      </c>
      <c r="H177" s="20"/>
    </row>
    <row r="178" spans="1:8" ht="17.25" hidden="1" customHeight="1">
      <c r="A178" s="30">
        <v>79</v>
      </c>
      <c r="B178" s="10">
        <f t="shared" si="19"/>
        <v>0</v>
      </c>
      <c r="C178" s="10">
        <f t="shared" si="18"/>
        <v>0</v>
      </c>
      <c r="D178" s="10">
        <f>ROUNDDOWN(SUM(B178:B$179)*B$6/12*3,0)</f>
        <v>0</v>
      </c>
      <c r="E178" s="10">
        <f t="shared" si="20"/>
        <v>0</v>
      </c>
      <c r="F178" s="10"/>
      <c r="G178" s="10">
        <f t="shared" si="16"/>
        <v>0</v>
      </c>
      <c r="H178" s="20"/>
    </row>
    <row r="179" spans="1:8" ht="17.25" hidden="1" customHeight="1">
      <c r="A179" s="30">
        <v>80</v>
      </c>
      <c r="B179" s="10">
        <f t="shared" si="19"/>
        <v>0</v>
      </c>
      <c r="C179" s="10">
        <f t="shared" si="18"/>
        <v>0</v>
      </c>
      <c r="D179" s="10">
        <f>ROUNDDOWN(SUM(B179:B$179)*B$6/12*3,0)</f>
        <v>0</v>
      </c>
      <c r="E179" s="10">
        <f>IF($D$5=A179,$G$92,G91)</f>
        <v>0</v>
      </c>
      <c r="F179" s="10"/>
      <c r="G179" s="10">
        <f t="shared" si="16"/>
        <v>0</v>
      </c>
      <c r="H179" s="20"/>
    </row>
    <row r="180" spans="1:8" ht="17.25" customHeight="1">
      <c r="A180" s="12" t="s">
        <v>41</v>
      </c>
      <c r="B180" s="10">
        <f>C$8*0.1</f>
        <v>0</v>
      </c>
      <c r="C180" s="10">
        <f t="shared" si="18"/>
        <v>0</v>
      </c>
      <c r="D180" s="10">
        <v>0</v>
      </c>
      <c r="E180" s="10">
        <f>G94</f>
        <v>0</v>
      </c>
      <c r="F180" s="10"/>
      <c r="G180" s="10">
        <f t="shared" si="16"/>
        <v>0</v>
      </c>
      <c r="H180" s="20"/>
    </row>
    <row r="181" spans="1:8" ht="17.25" customHeight="1">
      <c r="A181" s="14" t="s">
        <v>46</v>
      </c>
      <c r="B181" s="10" t="e">
        <f t="shared" ref="B181:G181" si="21">SUM(B100:B180)</f>
        <v>#DIV/0!</v>
      </c>
      <c r="C181" s="10" t="e">
        <f t="shared" si="21"/>
        <v>#DIV/0!</v>
      </c>
      <c r="D181" s="10" t="e">
        <f t="shared" si="21"/>
        <v>#DIV/0!</v>
      </c>
      <c r="E181" s="10" t="e">
        <f t="shared" si="21"/>
        <v>#DIV/0!</v>
      </c>
      <c r="F181" s="10">
        <f t="shared" si="21"/>
        <v>0</v>
      </c>
      <c r="G181" s="10" t="e">
        <f t="shared" si="21"/>
        <v>#DIV/0!</v>
      </c>
      <c r="H181" s="20"/>
    </row>
    <row r="182" spans="1:8" ht="20.100000000000001" customHeight="1">
      <c r="A182" s="140" t="s">
        <v>134</v>
      </c>
      <c r="B182" s="140"/>
      <c r="C182" s="140"/>
      <c r="D182" s="140"/>
      <c r="E182" s="140"/>
      <c r="F182" s="140"/>
      <c r="G182" s="140"/>
      <c r="H182" s="20"/>
    </row>
    <row r="183" spans="1:8" ht="20.100000000000001" customHeight="1">
      <c r="A183" s="141" t="s">
        <v>151</v>
      </c>
      <c r="B183" s="141"/>
      <c r="C183" s="141"/>
      <c r="D183" s="141"/>
      <c r="E183" s="141"/>
      <c r="F183" s="141"/>
      <c r="G183" s="141"/>
      <c r="H183" s="20"/>
    </row>
    <row r="184" spans="1:8" ht="20.100000000000001" customHeight="1">
      <c r="H184" s="20"/>
    </row>
  </sheetData>
  <sheetProtection algorithmName="SHA-512" hashValue="M78PSjuqaAbNjZd4w1HzLmlp9qwqFDwQodL1dqENbi78t9WP3CeVifjZzZv3LlCfXUx3V4g6c8ZuVzdnlX25tQ==" saltValue="1G2Yoswz5z44IG0wBzb1hA==" spinCount="100000" sheet="1" objects="1" scenarios="1"/>
  <mergeCells count="10">
    <mergeCell ref="E98:G98"/>
    <mergeCell ref="A182:G182"/>
    <mergeCell ref="A183:G183"/>
    <mergeCell ref="A4:B4"/>
    <mergeCell ref="A1:G1"/>
    <mergeCell ref="A2:B2"/>
    <mergeCell ref="A3:B3"/>
    <mergeCell ref="C3:D3"/>
    <mergeCell ref="C2:D2"/>
    <mergeCell ref="C4:D4"/>
  </mergeCells>
  <phoneticPr fontId="2"/>
  <printOptions horizontalCentered="1"/>
  <pageMargins left="0.37" right="0.3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8</xdr:col>
                    <xdr:colOff>95250</xdr:colOff>
                    <xdr:row>4</xdr:row>
                    <xdr:rowOff>19050</xdr:rowOff>
                  </from>
                  <to>
                    <xdr:col>9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topLeftCell="H25" workbookViewId="0">
      <selection activeCell="K35" sqref="K35:L39"/>
    </sheetView>
  </sheetViews>
  <sheetFormatPr defaultRowHeight="13.5"/>
  <cols>
    <col min="8" max="9" width="13.125" customWidth="1"/>
    <col min="11" max="11" width="16.375" customWidth="1"/>
    <col min="12" max="12" width="34.5" customWidth="1"/>
  </cols>
  <sheetData>
    <row r="1" spans="1:12">
      <c r="A1" s="69" t="s">
        <v>126</v>
      </c>
      <c r="H1" s="72" t="s">
        <v>126</v>
      </c>
      <c r="L1" s="72" t="s">
        <v>120</v>
      </c>
    </row>
    <row r="5" spans="1:12">
      <c r="H5" s="63"/>
      <c r="I5" s="63"/>
    </row>
    <row r="6" spans="1:12" ht="14.25" thickBot="1">
      <c r="H6" s="67" t="s">
        <v>109</v>
      </c>
      <c r="I6" s="67" t="s">
        <v>110</v>
      </c>
    </row>
    <row r="7" spans="1:12" ht="14.25" thickTop="1">
      <c r="H7" s="65">
        <v>155</v>
      </c>
      <c r="I7" s="68">
        <v>2</v>
      </c>
    </row>
    <row r="8" spans="1:12">
      <c r="H8" s="64">
        <v>210</v>
      </c>
      <c r="I8" s="27">
        <v>3</v>
      </c>
    </row>
    <row r="9" spans="1:12">
      <c r="H9" s="64">
        <v>264</v>
      </c>
      <c r="I9" s="27">
        <v>4</v>
      </c>
    </row>
    <row r="10" spans="1:12">
      <c r="H10" s="64">
        <v>320</v>
      </c>
      <c r="I10" s="27">
        <v>5</v>
      </c>
    </row>
    <row r="11" spans="1:12">
      <c r="H11" s="64">
        <v>375</v>
      </c>
      <c r="I11" s="27">
        <v>6</v>
      </c>
    </row>
    <row r="12" spans="1:12">
      <c r="H12" s="64">
        <v>430</v>
      </c>
      <c r="I12" s="27">
        <v>7</v>
      </c>
    </row>
    <row r="13" spans="1:12">
      <c r="H13" s="64">
        <v>486</v>
      </c>
      <c r="I13" s="27">
        <v>8</v>
      </c>
    </row>
    <row r="14" spans="1:12">
      <c r="H14" s="64">
        <v>540</v>
      </c>
      <c r="I14" s="27">
        <v>9</v>
      </c>
    </row>
    <row r="15" spans="1:12">
      <c r="H15" s="64">
        <v>595</v>
      </c>
      <c r="I15" s="27">
        <v>10</v>
      </c>
    </row>
    <row r="18" spans="1:12">
      <c r="B18">
        <v>651</v>
      </c>
      <c r="D18" t="s">
        <v>125</v>
      </c>
    </row>
    <row r="20" spans="1:12">
      <c r="A20" t="s">
        <v>111</v>
      </c>
    </row>
    <row r="22" spans="1:12" ht="24.75" thickBot="1">
      <c r="K22" s="66" t="s">
        <v>113</v>
      </c>
      <c r="L22" s="67" t="s">
        <v>112</v>
      </c>
    </row>
    <row r="23" spans="1:12" ht="14.25" thickTop="1">
      <c r="K23" s="65">
        <v>2.2799999999999998</v>
      </c>
      <c r="L23" s="70" t="s">
        <v>114</v>
      </c>
    </row>
    <row r="24" spans="1:12">
      <c r="K24" s="64">
        <v>1.19</v>
      </c>
      <c r="L24" s="71" t="s">
        <v>115</v>
      </c>
    </row>
    <row r="25" spans="1:12">
      <c r="K25" s="64">
        <v>1.69</v>
      </c>
      <c r="L25" s="71" t="s">
        <v>116</v>
      </c>
    </row>
    <row r="26" spans="1:12">
      <c r="K26" s="64">
        <v>1.59</v>
      </c>
      <c r="L26" s="71" t="s">
        <v>117</v>
      </c>
    </row>
    <row r="27" spans="1:12">
      <c r="K27" s="64">
        <v>1.75</v>
      </c>
      <c r="L27" s="71" t="s">
        <v>118</v>
      </c>
    </row>
    <row r="34" spans="1:12">
      <c r="A34" t="s">
        <v>119</v>
      </c>
    </row>
    <row r="35" spans="1:12" ht="24">
      <c r="K35" s="73" t="s">
        <v>113</v>
      </c>
      <c r="L35" s="74" t="s">
        <v>112</v>
      </c>
    </row>
    <row r="36" spans="1:12">
      <c r="K36" s="64">
        <v>2.2799999999999998</v>
      </c>
      <c r="L36" s="75" t="s">
        <v>121</v>
      </c>
    </row>
    <row r="37" spans="1:12">
      <c r="K37" s="64">
        <v>0.89</v>
      </c>
      <c r="L37" s="75" t="s">
        <v>122</v>
      </c>
    </row>
    <row r="38" spans="1:12" ht="21">
      <c r="K38" s="77">
        <v>0.9</v>
      </c>
      <c r="L38" s="76" t="s">
        <v>123</v>
      </c>
    </row>
    <row r="39" spans="1:12">
      <c r="K39" s="64">
        <v>0.89</v>
      </c>
      <c r="L39" s="75" t="s">
        <v>124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基本情報入力 (入力例)</vt:lpstr>
      <vt:lpstr>基本情報入力</vt:lpstr>
      <vt:lpstr>試算結果・年１回払</vt:lpstr>
      <vt:lpstr>試算結果・年４回払</vt:lpstr>
      <vt:lpstr>総合残価率・保険料率</vt:lpstr>
      <vt:lpstr>基本情報入力!Print_Area</vt:lpstr>
      <vt:lpstr>'基本情報入力 (入力例)'!Print_Area</vt:lpstr>
      <vt:lpstr>試算結果・年１回払!Print_Area</vt:lpstr>
      <vt:lpstr>試算結果・年４回払!Print_Area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chikusan12</dc:creator>
  <cp:lastModifiedBy>chikusan16</cp:lastModifiedBy>
  <cp:lastPrinted>2023-06-14T02:33:14Z</cp:lastPrinted>
  <dcterms:created xsi:type="dcterms:W3CDTF">1999-04-08T00:28:49Z</dcterms:created>
  <dcterms:modified xsi:type="dcterms:W3CDTF">2023-06-14T02:33:51Z</dcterms:modified>
</cp:coreProperties>
</file>